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ichomemac/Dropbox/2 INET Oxford/0 COVID 19/Guarantee Payrolls/Cost Model/"/>
    </mc:Choice>
  </mc:AlternateContent>
  <xr:revisionPtr revIDLastSave="0" documentId="13_ncr:1_{9242BE44-305D-EF40-87BC-E88846328699}" xr6:coauthVersionLast="45" xr6:coauthVersionMax="45" xr10:uidLastSave="{00000000-0000-0000-0000-000000000000}"/>
  <bookViews>
    <workbookView xWindow="-39260" yWindow="460" windowWidth="38440" windowHeight="20660" xr2:uid="{84047A46-7914-6044-8731-6A0FB6D845D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78" i="1" l="1"/>
  <c r="X77" i="1"/>
  <c r="U78" i="1"/>
  <c r="V78" i="1" s="1"/>
  <c r="U77" i="1"/>
  <c r="V77" i="1" s="1"/>
  <c r="X75" i="1"/>
  <c r="X76" i="1"/>
  <c r="X73" i="1"/>
  <c r="X74" i="1"/>
  <c r="X72" i="1"/>
  <c r="X71" i="1"/>
  <c r="O39" i="1" l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P39" i="1" l="1"/>
  <c r="P38" i="1"/>
  <c r="B85" i="1"/>
  <c r="M38" i="1" s="1"/>
  <c r="B84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C75" i="1"/>
  <c r="D74" i="1"/>
  <c r="C74" i="1"/>
  <c r="D72" i="1"/>
  <c r="D73" i="1"/>
  <c r="C73" i="1"/>
  <c r="B46" i="1"/>
  <c r="G22" i="1"/>
  <c r="G21" i="1"/>
  <c r="G20" i="1"/>
  <c r="G19" i="1"/>
  <c r="B64" i="1"/>
  <c r="C64" i="1" s="1"/>
  <c r="B63" i="1"/>
  <c r="C63" i="1" s="1"/>
  <c r="M39" i="1" l="1"/>
  <c r="Q39" i="1" s="1"/>
  <c r="Q38" i="1"/>
  <c r="B62" i="1"/>
  <c r="C61" i="1"/>
  <c r="C60" i="1"/>
  <c r="C59" i="1"/>
  <c r="C58" i="1"/>
  <c r="C57" i="1"/>
  <c r="G31" i="1" s="1"/>
  <c r="C56" i="1"/>
  <c r="G30" i="1" s="1"/>
  <c r="C55" i="1"/>
  <c r="G29" i="1" s="1"/>
  <c r="C54" i="1"/>
  <c r="G28" i="1" s="1"/>
  <c r="C53" i="1"/>
  <c r="G27" i="1" s="1"/>
  <c r="C52" i="1"/>
  <c r="G26" i="1" s="1"/>
  <c r="C51" i="1"/>
  <c r="C50" i="1"/>
  <c r="G25" i="1" s="1"/>
  <c r="C49" i="1"/>
  <c r="U76" i="1" l="1"/>
  <c r="V76" i="1" s="1"/>
  <c r="U73" i="1"/>
  <c r="V73" i="1" s="1"/>
  <c r="U71" i="1"/>
  <c r="V71" i="1" s="1"/>
  <c r="U74" i="1"/>
  <c r="V74" i="1" s="1"/>
  <c r="U72" i="1"/>
  <c r="V72" i="1" s="1"/>
  <c r="U75" i="1"/>
  <c r="V75" i="1" s="1"/>
  <c r="G33" i="1"/>
  <c r="G32" i="1"/>
  <c r="G34" i="1"/>
  <c r="G36" i="1"/>
  <c r="G35" i="1"/>
  <c r="G38" i="1"/>
  <c r="G37" i="1"/>
  <c r="G23" i="1"/>
  <c r="G24" i="1"/>
  <c r="C62" i="1"/>
  <c r="C66" i="1" s="1"/>
  <c r="H31" i="1"/>
  <c r="H32" i="1" s="1"/>
  <c r="H33" i="1" s="1"/>
  <c r="H34" i="1" s="1"/>
  <c r="H35" i="1" s="1"/>
  <c r="H36" i="1" s="1"/>
  <c r="H37" i="1" s="1"/>
  <c r="H38" i="1" s="1"/>
  <c r="H39" i="1" s="1"/>
  <c r="H25" i="1"/>
  <c r="H26" i="1" s="1"/>
  <c r="H27" i="1" s="1"/>
  <c r="H28" i="1" s="1"/>
  <c r="H29" i="1" s="1"/>
  <c r="H30" i="1" s="1"/>
  <c r="H21" i="1"/>
  <c r="H19" i="1"/>
  <c r="G49" i="1"/>
  <c r="K30" i="1" s="1"/>
  <c r="I1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E39" i="1"/>
  <c r="F39" i="1" s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D19" i="1" s="1"/>
  <c r="B39" i="1"/>
  <c r="K26" i="1" l="1"/>
  <c r="K34" i="1"/>
  <c r="K25" i="1"/>
  <c r="P30" i="1"/>
  <c r="K33" i="1"/>
  <c r="M30" i="1"/>
  <c r="M25" i="1"/>
  <c r="K19" i="1"/>
  <c r="K35" i="1"/>
  <c r="K22" i="1"/>
  <c r="K28" i="1"/>
  <c r="K29" i="1"/>
  <c r="H22" i="1"/>
  <c r="K23" i="1"/>
  <c r="K31" i="1"/>
  <c r="M26" i="1"/>
  <c r="K27" i="1"/>
  <c r="G41" i="1"/>
  <c r="K20" i="1"/>
  <c r="K36" i="1"/>
  <c r="C39" i="1"/>
  <c r="C41" i="1" s="1"/>
  <c r="G39" i="1"/>
  <c r="K21" i="1"/>
  <c r="K37" i="1"/>
  <c r="H20" i="1"/>
  <c r="J19" i="1"/>
  <c r="U19" i="1" s="1"/>
  <c r="K24" i="1"/>
  <c r="K32" i="1"/>
  <c r="D20" i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I20" i="1"/>
  <c r="V19" i="1" l="1"/>
  <c r="P36" i="1"/>
  <c r="P24" i="1"/>
  <c r="P20" i="1"/>
  <c r="Q20" i="1" s="1"/>
  <c r="P29" i="1"/>
  <c r="P33" i="1"/>
  <c r="P28" i="1"/>
  <c r="P23" i="1"/>
  <c r="Q30" i="1"/>
  <c r="P35" i="1"/>
  <c r="P25" i="1"/>
  <c r="Q25" i="1" s="1"/>
  <c r="P32" i="1"/>
  <c r="P27" i="1"/>
  <c r="P37" i="1"/>
  <c r="P21" i="1"/>
  <c r="P19" i="1"/>
  <c r="W19" i="1" s="1"/>
  <c r="P34" i="1"/>
  <c r="P22" i="1"/>
  <c r="M33" i="1"/>
  <c r="P31" i="1"/>
  <c r="M34" i="1"/>
  <c r="P26" i="1"/>
  <c r="M29" i="1"/>
  <c r="M32" i="1"/>
  <c r="H23" i="1"/>
  <c r="M24" i="1"/>
  <c r="M20" i="1"/>
  <c r="J20" i="1"/>
  <c r="U20" i="1" s="1"/>
  <c r="M28" i="1"/>
  <c r="D39" i="1"/>
  <c r="M27" i="1"/>
  <c r="M22" i="1"/>
  <c r="M21" i="1"/>
  <c r="M23" i="1"/>
  <c r="M35" i="1"/>
  <c r="M36" i="1"/>
  <c r="M37" i="1"/>
  <c r="M31" i="1"/>
  <c r="M19" i="1"/>
  <c r="I21" i="1"/>
  <c r="I22" i="1" s="1"/>
  <c r="J22" i="1" s="1"/>
  <c r="U22" i="1" s="1"/>
  <c r="Q23" i="1" l="1"/>
  <c r="Q32" i="1"/>
  <c r="S53" i="1"/>
  <c r="V20" i="1"/>
  <c r="W20" i="1"/>
  <c r="X19" i="1"/>
  <c r="W22" i="1"/>
  <c r="V22" i="1"/>
  <c r="Q37" i="1"/>
  <c r="Q31" i="1"/>
  <c r="Q24" i="1"/>
  <c r="Q29" i="1"/>
  <c r="Q26" i="1"/>
  <c r="Q22" i="1"/>
  <c r="R22" i="1" s="1"/>
  <c r="Q27" i="1"/>
  <c r="Q36" i="1"/>
  <c r="Q35" i="1"/>
  <c r="Q34" i="1"/>
  <c r="Q19" i="1"/>
  <c r="R19" i="1" s="1"/>
  <c r="Q28" i="1"/>
  <c r="Q21" i="1"/>
  <c r="Q33" i="1"/>
  <c r="R20" i="1"/>
  <c r="H24" i="1"/>
  <c r="J21" i="1"/>
  <c r="U21" i="1" s="1"/>
  <c r="I23" i="1"/>
  <c r="S45" i="1" l="1"/>
  <c r="V21" i="1"/>
  <c r="W21" i="1"/>
  <c r="X20" i="1"/>
  <c r="X22" i="1"/>
  <c r="R21" i="1"/>
  <c r="J23" i="1"/>
  <c r="U23" i="1" s="1"/>
  <c r="I24" i="1"/>
  <c r="X21" i="1" l="1"/>
  <c r="R23" i="1"/>
  <c r="V23" i="1"/>
  <c r="W23" i="1"/>
  <c r="J24" i="1"/>
  <c r="U24" i="1" s="1"/>
  <c r="I25" i="1"/>
  <c r="J25" i="1" s="1"/>
  <c r="U25" i="1" s="1"/>
  <c r="X23" i="1" l="1"/>
  <c r="W25" i="1"/>
  <c r="V25" i="1"/>
  <c r="R24" i="1"/>
  <c r="V24" i="1"/>
  <c r="W24" i="1"/>
  <c r="S54" i="1"/>
  <c r="R25" i="1"/>
  <c r="I26" i="1"/>
  <c r="X25" i="1" l="1"/>
  <c r="S46" i="1"/>
  <c r="X24" i="1"/>
  <c r="J26" i="1"/>
  <c r="U26" i="1" s="1"/>
  <c r="I27" i="1"/>
  <c r="W26" i="1" l="1"/>
  <c r="V26" i="1"/>
  <c r="R26" i="1"/>
  <c r="J27" i="1"/>
  <c r="U27" i="1" s="1"/>
  <c r="I28" i="1"/>
  <c r="R27" i="1" l="1"/>
  <c r="V27" i="1"/>
  <c r="W27" i="1"/>
  <c r="X26" i="1"/>
  <c r="J28" i="1"/>
  <c r="U28" i="1" s="1"/>
  <c r="I29" i="1"/>
  <c r="X27" i="1" l="1"/>
  <c r="R28" i="1"/>
  <c r="V28" i="1"/>
  <c r="W28" i="1"/>
  <c r="J29" i="1"/>
  <c r="U29" i="1" s="1"/>
  <c r="I30" i="1"/>
  <c r="R29" i="1" l="1"/>
  <c r="W29" i="1"/>
  <c r="V29" i="1"/>
  <c r="X28" i="1"/>
  <c r="J30" i="1"/>
  <c r="U30" i="1" s="1"/>
  <c r="I31" i="1"/>
  <c r="J31" i="1" s="1"/>
  <c r="U31" i="1" s="1"/>
  <c r="X29" i="1" l="1"/>
  <c r="V31" i="1"/>
  <c r="W31" i="1"/>
  <c r="R30" i="1"/>
  <c r="S47" i="1" s="1"/>
  <c r="V30" i="1"/>
  <c r="W30" i="1"/>
  <c r="S55" i="1"/>
  <c r="R31" i="1"/>
  <c r="I32" i="1"/>
  <c r="X30" i="1" l="1"/>
  <c r="X31" i="1"/>
  <c r="J32" i="1"/>
  <c r="U32" i="1" s="1"/>
  <c r="I33" i="1"/>
  <c r="R32" i="1" l="1"/>
  <c r="V32" i="1"/>
  <c r="W32" i="1"/>
  <c r="J33" i="1"/>
  <c r="U33" i="1" s="1"/>
  <c r="I34" i="1"/>
  <c r="X32" i="1" l="1"/>
  <c r="R33" i="1"/>
  <c r="W33" i="1"/>
  <c r="V33" i="1"/>
  <c r="J34" i="1"/>
  <c r="U34" i="1" s="1"/>
  <c r="I35" i="1"/>
  <c r="R34" i="1" l="1"/>
  <c r="W34" i="1"/>
  <c r="V34" i="1"/>
  <c r="X33" i="1"/>
  <c r="J35" i="1"/>
  <c r="U35" i="1" s="1"/>
  <c r="I36" i="1"/>
  <c r="J36" i="1" s="1"/>
  <c r="U36" i="1" s="1"/>
  <c r="R35" i="1" l="1"/>
  <c r="W35" i="1"/>
  <c r="V35" i="1"/>
  <c r="X34" i="1"/>
  <c r="V36" i="1"/>
  <c r="W36" i="1"/>
  <c r="R36" i="1"/>
  <c r="I37" i="1"/>
  <c r="X36" i="1" l="1"/>
  <c r="X35" i="1"/>
  <c r="J37" i="1"/>
  <c r="U37" i="1" s="1"/>
  <c r="I38" i="1"/>
  <c r="R37" i="1" l="1"/>
  <c r="W37" i="1"/>
  <c r="V37" i="1"/>
  <c r="J38" i="1"/>
  <c r="U38" i="1" s="1"/>
  <c r="I39" i="1"/>
  <c r="J39" i="1" s="1"/>
  <c r="U39" i="1" s="1"/>
  <c r="R38" i="1" l="1"/>
  <c r="W38" i="1"/>
  <c r="V38" i="1"/>
  <c r="V39" i="1"/>
  <c r="W39" i="1"/>
  <c r="X37" i="1"/>
  <c r="S56" i="1"/>
  <c r="S57" i="1" s="1"/>
  <c r="V40" i="1" l="1"/>
  <c r="S62" i="1" s="1"/>
  <c r="X38" i="1"/>
  <c r="X39" i="1"/>
  <c r="U40" i="1"/>
  <c r="W40" i="1"/>
  <c r="J41" i="1"/>
  <c r="J43" i="1" s="1"/>
  <c r="R39" i="1"/>
  <c r="S48" i="1" s="1"/>
  <c r="S49" i="1" s="1"/>
  <c r="X40" i="1" l="1"/>
  <c r="V41" i="1" s="1"/>
  <c r="T62" i="1" s="1"/>
  <c r="S63" i="1"/>
  <c r="S61" i="1"/>
  <c r="J42" i="1"/>
  <c r="T53" i="1"/>
  <c r="T54" i="1"/>
  <c r="T55" i="1"/>
  <c r="T56" i="1"/>
  <c r="R41" i="1"/>
  <c r="S41" i="1" s="1"/>
  <c r="S64" i="1" l="1"/>
  <c r="U41" i="1"/>
  <c r="T61" i="1" s="1"/>
  <c r="W41" i="1"/>
  <c r="T63" i="1" s="1"/>
  <c r="S86" i="1"/>
  <c r="S84" i="1"/>
  <c r="S83" i="1"/>
  <c r="S88" i="1"/>
  <c r="S85" i="1"/>
  <c r="S82" i="1"/>
  <c r="S87" i="1"/>
  <c r="T57" i="1"/>
  <c r="T48" i="1"/>
  <c r="T45" i="1"/>
  <c r="T46" i="1"/>
  <c r="T47" i="1"/>
  <c r="T64" i="1" l="1"/>
  <c r="T49" i="1"/>
</calcChain>
</file>

<file path=xl/sharedStrings.xml><?xml version="1.0" encoding="utf-8"?>
<sst xmlns="http://schemas.openxmlformats.org/spreadsheetml/2006/main" count="192" uniqueCount="153">
  <si>
    <t>U.S. Paycheck Guarantee - Approximate Costing</t>
  </si>
  <si>
    <t>Note:  This is a highly simplified estimated costing based on publicly available data.</t>
  </si>
  <si>
    <t xml:space="preserve"> The Congressional Budget Office would have data, models and methods to provide a more accurate costing.</t>
  </si>
  <si>
    <t>Number of</t>
  </si>
  <si>
    <t>Earners</t>
  </si>
  <si>
    <t>Percent of</t>
  </si>
  <si>
    <t>Total</t>
  </si>
  <si>
    <t>Aggregate</t>
  </si>
  <si>
    <t>Compensation</t>
  </si>
  <si>
    <t>Average</t>
  </si>
  <si>
    <t>0-4999</t>
  </si>
  <si>
    <t>5000-9999</t>
  </si>
  <si>
    <t>10000-14999</t>
  </si>
  <si>
    <t>15000-19999</t>
  </si>
  <si>
    <t>20000-24999</t>
  </si>
  <si>
    <t>25000-29999</t>
  </si>
  <si>
    <t>30000-34999</t>
  </si>
  <si>
    <t>35000-39999</t>
  </si>
  <si>
    <t>40000-44999</t>
  </si>
  <si>
    <t>45000-49999</t>
  </si>
  <si>
    <t>50000-54999</t>
  </si>
  <si>
    <t>55000-59999</t>
  </si>
  <si>
    <t>60000-64999</t>
  </si>
  <si>
    <t>65000-69999</t>
  </si>
  <si>
    <t>70000-74999</t>
  </si>
  <si>
    <t>75000-79999</t>
  </si>
  <si>
    <t>80000-84999</t>
  </si>
  <si>
    <t>85000-89999</t>
  </si>
  <si>
    <t>90000-94999</t>
  </si>
  <si>
    <t>95000-99999</t>
  </si>
  <si>
    <t>100000 and above</t>
  </si>
  <si>
    <t>Net annual</t>
  </si>
  <si>
    <t>Compensation Interval</t>
  </si>
  <si>
    <t>Est. 1st order</t>
  </si>
  <si>
    <t>Employment</t>
  </si>
  <si>
    <t>Data sources:  Compensation data:  Social Security Administration Wage Statistics for 2018 (https://www.ssa.gov/cgi-bin/netcomp.cgi?year=2018)</t>
  </si>
  <si>
    <t>Cumulative</t>
  </si>
  <si>
    <t>Percent</t>
  </si>
  <si>
    <t>Est. claims under program</t>
  </si>
  <si>
    <t>Number</t>
  </si>
  <si>
    <t>Percent claim</t>
  </si>
  <si>
    <t>Avg Wage</t>
  </si>
  <si>
    <t>Public Sector Employment Adjustment</t>
  </si>
  <si>
    <t>Shock</t>
  </si>
  <si>
    <t>Assumptions</t>
  </si>
  <si>
    <t>Months covered</t>
  </si>
  <si>
    <t>Uplift</t>
  </si>
  <si>
    <t>Annualized</t>
  </si>
  <si>
    <t>Period</t>
  </si>
  <si>
    <t>Claimants</t>
  </si>
  <si>
    <t>Claims</t>
  </si>
  <si>
    <t>TOTAL</t>
  </si>
  <si>
    <t>% of Earners</t>
  </si>
  <si>
    <t>Bottom quartile</t>
  </si>
  <si>
    <t>2nd quartile</t>
  </si>
  <si>
    <t>3rd quartile</t>
  </si>
  <si>
    <t>Top quartile</t>
  </si>
  <si>
    <t>Total Payments</t>
  </si>
  <si>
    <t>Income quartile</t>
  </si>
  <si>
    <t>Est. of employment shocks: Rio-Chanona et al (2020) (https://www.inet.ox.ac.uk/publications/no-2020-05-supply-and-demand-shocks-in-the-covid-19-pandemic/)</t>
  </si>
  <si>
    <t>Claim (2020 est)</t>
  </si>
  <si>
    <t>Wage growth</t>
  </si>
  <si>
    <t>Q1</t>
  </si>
  <si>
    <t>Q2</t>
  </si>
  <si>
    <t>Q3</t>
  </si>
  <si>
    <t>% non-public</t>
  </si>
  <si>
    <t>Sensitivity Testing</t>
  </si>
  <si>
    <t>Assumption</t>
  </si>
  <si>
    <t>Total Cost</t>
  </si>
  <si>
    <t>70% claim</t>
  </si>
  <si>
    <t>90% claim</t>
  </si>
  <si>
    <t>Base Case</t>
  </si>
  <si>
    <t>High Case</t>
  </si>
  <si>
    <t>Low Case</t>
  </si>
  <si>
    <t>Model Case</t>
  </si>
  <si>
    <t xml:space="preserve">Employment Shock by income quartile (base case source: Rio-Chanona et al 2020) </t>
  </si>
  <si>
    <t>Base case</t>
  </si>
  <si>
    <t>Total Cost Per Month</t>
  </si>
  <si>
    <t>Income Quartile</t>
  </si>
  <si>
    <t>Q4</t>
  </si>
  <si>
    <t>Version:  April 13, 2020</t>
  </si>
  <si>
    <t>Distribution of US wage earners by level of net compensation (2018)</t>
  </si>
  <si>
    <t>Eric Beinhocker, University of Oxford</t>
  </si>
  <si>
    <t>Salary</t>
  </si>
  <si>
    <t>Federal Payscale (GS)</t>
  </si>
  <si>
    <t>1 to 3</t>
  </si>
  <si>
    <t>Employees</t>
  </si>
  <si>
    <t>% of GS</t>
  </si>
  <si>
    <t>Salary Mid</t>
  </si>
  <si>
    <t>SES 2-5</t>
  </si>
  <si>
    <t>SES 1</t>
  </si>
  <si>
    <t>Eligible</t>
  </si>
  <si>
    <t>publc sector)</t>
  </si>
  <si>
    <t>Earners (less</t>
  </si>
  <si>
    <t>Public sector (BLS 2018)</t>
  </si>
  <si>
    <t>Non-public sector</t>
  </si>
  <si>
    <t>Avg Benefits</t>
  </si>
  <si>
    <t>Claim</t>
  </si>
  <si>
    <t>Employer</t>
  </si>
  <si>
    <t>Distribution of Employee Health Benefits</t>
  </si>
  <si>
    <t>Source:  Peterson-KFF Health System Tracker</t>
  </si>
  <si>
    <t>Full-time workers</t>
  </si>
  <si>
    <t>%</t>
  </si>
  <si>
    <t>Under 100% FPL</t>
  </si>
  <si>
    <t>100-250% FPL</t>
  </si>
  <si>
    <t>250-400% FPL</t>
  </si>
  <si>
    <t>Earnings Band</t>
  </si>
  <si>
    <t>400% FPL +</t>
  </si>
  <si>
    <t>2018 FPL</t>
  </si>
  <si>
    <t>w Benefits</t>
  </si>
  <si>
    <t>Health Benefits as Percent of Salary</t>
  </si>
  <si>
    <t>Source:  BLS</t>
  </si>
  <si>
    <t>Benefits</t>
  </si>
  <si>
    <t>Salary multiplier</t>
  </si>
  <si>
    <t>Avg Claim</t>
  </si>
  <si>
    <t>For Program</t>
  </si>
  <si>
    <t>Nominal Q4 2018-Q2 2020</t>
  </si>
  <si>
    <t>Salary + Benefits</t>
  </si>
  <si>
    <t>Claimed</t>
  </si>
  <si>
    <t>Workers Claiming</t>
  </si>
  <si>
    <t>30% uplift</t>
  </si>
  <si>
    <t>Employer uplift</t>
  </si>
  <si>
    <t>Difference</t>
  </si>
  <si>
    <t>Per Mos.</t>
  </si>
  <si>
    <t>Distribution of dollar benefits by income quartile</t>
  </si>
  <si>
    <t>Distribution of workers protected by income quartile</t>
  </si>
  <si>
    <t>Distribution of dollar benefits by benefit type</t>
  </si>
  <si>
    <t>Wages</t>
  </si>
  <si>
    <t>Employer Uplift</t>
  </si>
  <si>
    <t>Amount Paid</t>
  </si>
  <si>
    <t>Total Claims by Benefit Type</t>
  </si>
  <si>
    <t>Length of Program</t>
  </si>
  <si>
    <t>Months</t>
  </si>
  <si>
    <t>End Month</t>
  </si>
  <si>
    <t>May</t>
  </si>
  <si>
    <t>June</t>
  </si>
  <si>
    <t>July</t>
  </si>
  <si>
    <t>August</t>
  </si>
  <si>
    <t>September</t>
  </si>
  <si>
    <t>October</t>
  </si>
  <si>
    <t>November</t>
  </si>
  <si>
    <t>Percentage</t>
  </si>
  <si>
    <t>20% uplift</t>
  </si>
  <si>
    <t>Covered</t>
  </si>
  <si>
    <t>Wage covered</t>
  </si>
  <si>
    <t>Up to threshold</t>
  </si>
  <si>
    <t>Use of Funds</t>
  </si>
  <si>
    <t>High shock</t>
  </si>
  <si>
    <t>Low shock</t>
  </si>
  <si>
    <t>High/90%</t>
  </si>
  <si>
    <t>Low/70%</t>
  </si>
  <si>
    <t>Cost Per Month</t>
  </si>
  <si>
    <t>See  https://www.inet.ox.ac.uk/publications/estimates-of-costs-for-a-u-s-paycheck-guarantee-1/ for a full discussion of the data, adjustments, and assumptions.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</si>
</sst>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Font="1" applyBorder="1"/>
    <xf numFmtId="164" fontId="0" fillId="0" borderId="0" xfId="1" applyNumberFormat="1" applyFont="1"/>
    <xf numFmtId="164" fontId="0" fillId="0" borderId="0" xfId="0" applyNumberFormat="1"/>
    <xf numFmtId="9" fontId="0" fillId="0" borderId="0" xfId="2" applyFont="1"/>
    <xf numFmtId="10" fontId="0" fillId="0" borderId="0" xfId="2" applyNumberFormat="1" applyFont="1"/>
    <xf numFmtId="164" fontId="5" fillId="0" borderId="0" xfId="1" applyNumberFormat="1" applyFont="1"/>
    <xf numFmtId="0" fontId="0" fillId="0" borderId="2" xfId="0" applyBorder="1"/>
    <xf numFmtId="0" fontId="0" fillId="0" borderId="3" xfId="0" applyFont="1" applyBorder="1"/>
    <xf numFmtId="164" fontId="0" fillId="0" borderId="2" xfId="1" applyNumberFormat="1" applyFont="1" applyBorder="1"/>
    <xf numFmtId="0" fontId="0" fillId="0" borderId="0" xfId="0" applyFill="1" applyBorder="1"/>
    <xf numFmtId="43" fontId="0" fillId="0" borderId="0" xfId="0" applyNumberFormat="1"/>
    <xf numFmtId="0" fontId="0" fillId="0" borderId="0" xfId="0" applyBorder="1"/>
    <xf numFmtId="0" fontId="0" fillId="0" borderId="4" xfId="0" applyFont="1" applyFill="1" applyBorder="1"/>
    <xf numFmtId="2" fontId="0" fillId="0" borderId="0" xfId="0" applyNumberFormat="1"/>
    <xf numFmtId="0" fontId="0" fillId="0" borderId="1" xfId="0" applyFont="1" applyFill="1" applyBorder="1"/>
    <xf numFmtId="43" fontId="0" fillId="0" borderId="5" xfId="0" applyNumberFormat="1" applyFill="1" applyBorder="1"/>
    <xf numFmtId="0" fontId="0" fillId="0" borderId="1" xfId="0" applyBorder="1"/>
    <xf numFmtId="0" fontId="2" fillId="0" borderId="6" xfId="0" applyFont="1" applyBorder="1"/>
    <xf numFmtId="164" fontId="2" fillId="0" borderId="6" xfId="0" applyNumberFormat="1" applyFont="1" applyBorder="1"/>
    <xf numFmtId="0" fontId="0" fillId="0" borderId="0" xfId="0" applyFont="1" applyFill="1" applyBorder="1"/>
    <xf numFmtId="0" fontId="0" fillId="0" borderId="0" xfId="0" applyFont="1"/>
    <xf numFmtId="164" fontId="1" fillId="0" borderId="0" xfId="1" applyNumberFormat="1" applyFont="1"/>
    <xf numFmtId="43" fontId="2" fillId="0" borderId="0" xfId="0" applyNumberFormat="1" applyFont="1"/>
    <xf numFmtId="0" fontId="0" fillId="0" borderId="0" xfId="0" applyNumberFormat="1" applyAlignment="1">
      <alignment horizontal="right"/>
    </xf>
    <xf numFmtId="165" fontId="0" fillId="0" borderId="0" xfId="2" applyNumberFormat="1" applyFont="1"/>
    <xf numFmtId="0" fontId="0" fillId="0" borderId="0" xfId="0" applyAlignment="1">
      <alignment horizontal="right"/>
    </xf>
    <xf numFmtId="165" fontId="0" fillId="0" borderId="1" xfId="2" applyNumberFormat="1" applyFont="1" applyBorder="1"/>
    <xf numFmtId="164" fontId="0" fillId="0" borderId="1" xfId="0" applyNumberFormat="1" applyBorder="1"/>
    <xf numFmtId="165" fontId="0" fillId="0" borderId="0" xfId="0" applyNumberFormat="1"/>
    <xf numFmtId="166" fontId="0" fillId="0" borderId="0" xfId="2" applyNumberFormat="1" applyFont="1"/>
    <xf numFmtId="164" fontId="0" fillId="0" borderId="0" xfId="1" applyNumberFormat="1" applyFont="1" applyBorder="1"/>
    <xf numFmtId="164" fontId="0" fillId="0" borderId="7" xfId="1" applyNumberFormat="1" applyFont="1" applyBorder="1"/>
    <xf numFmtId="9" fontId="0" fillId="0" borderId="1" xfId="2" applyFont="1" applyBorder="1"/>
    <xf numFmtId="9" fontId="0" fillId="0" borderId="0" xfId="0" applyNumberFormat="1"/>
    <xf numFmtId="9" fontId="0" fillId="0" borderId="0" xfId="2" applyNumberFormat="1" applyFont="1"/>
    <xf numFmtId="9" fontId="0" fillId="0" borderId="1" xfId="2" applyNumberFormat="1" applyFont="1" applyBorder="1"/>
    <xf numFmtId="0" fontId="0" fillId="0" borderId="1" xfId="0" applyFill="1" applyBorder="1"/>
    <xf numFmtId="164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>
      <alignment horizontal="left"/>
    </xf>
    <xf numFmtId="0" fontId="0" fillId="0" borderId="0" xfId="0" applyFill="1"/>
    <xf numFmtId="164" fontId="0" fillId="0" borderId="0" xfId="1" applyNumberFormat="1" applyFont="1" applyFill="1"/>
    <xf numFmtId="10" fontId="0" fillId="0" borderId="0" xfId="2" applyNumberFormat="1" applyFont="1" applyFill="1"/>
    <xf numFmtId="164" fontId="0" fillId="0" borderId="2" xfId="1" applyNumberFormat="1" applyFont="1" applyFill="1" applyBorder="1"/>
    <xf numFmtId="164" fontId="0" fillId="0" borderId="0" xfId="1" applyNumberFormat="1" applyFont="1" applyFill="1" applyBorder="1"/>
    <xf numFmtId="2" fontId="0" fillId="0" borderId="0" xfId="0" applyNumberFormat="1" applyFill="1"/>
    <xf numFmtId="43" fontId="0" fillId="0" borderId="0" xfId="0" applyNumberFormat="1" applyFill="1"/>
    <xf numFmtId="164" fontId="0" fillId="0" borderId="0" xfId="0" applyNumberFormat="1" applyFill="1"/>
    <xf numFmtId="9" fontId="0" fillId="0" borderId="0" xfId="2" applyFont="1" applyFill="1"/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6B7C2-81A3-A247-9244-5E7414F65DA8}">
  <dimension ref="A1:X88"/>
  <sheetViews>
    <sheetView tabSelected="1" zoomScale="177" zoomScaleNormal="177" workbookViewId="0"/>
  </sheetViews>
  <sheetFormatPr baseColWidth="10" defaultRowHeight="16" x14ac:dyDescent="0.2"/>
  <cols>
    <col min="1" max="1" width="21.5" customWidth="1"/>
    <col min="2" max="2" width="15" bestFit="1" customWidth="1"/>
    <col min="3" max="3" width="14" bestFit="1" customWidth="1"/>
    <col min="4" max="4" width="11.5" bestFit="1" customWidth="1"/>
    <col min="5" max="5" width="21.1640625" bestFit="1" customWidth="1"/>
    <col min="6" max="6" width="14.33203125" customWidth="1"/>
    <col min="7" max="7" width="15" bestFit="1" customWidth="1"/>
    <col min="9" max="10" width="13" bestFit="1" customWidth="1"/>
    <col min="11" max="11" width="14.6640625" bestFit="1" customWidth="1"/>
    <col min="12" max="15" width="14.6640625" customWidth="1"/>
    <col min="18" max="18" width="16.6640625" bestFit="1" customWidth="1"/>
    <col min="19" max="19" width="20.1640625" customWidth="1"/>
    <col min="20" max="20" width="18.83203125" bestFit="1" customWidth="1"/>
    <col min="21" max="22" width="16.6640625" bestFit="1" customWidth="1"/>
    <col min="23" max="23" width="15" bestFit="1" customWidth="1"/>
    <col min="24" max="24" width="16" bestFit="1" customWidth="1"/>
  </cols>
  <sheetData>
    <row r="1" spans="1:21" x14ac:dyDescent="0.2">
      <c r="A1" s="3" t="s">
        <v>0</v>
      </c>
    </row>
    <row r="2" spans="1:21" x14ac:dyDescent="0.2">
      <c r="A2" s="3"/>
    </row>
    <row r="3" spans="1:21" x14ac:dyDescent="0.2">
      <c r="A3" s="24" t="s">
        <v>82</v>
      </c>
    </row>
    <row r="4" spans="1:21" x14ac:dyDescent="0.2">
      <c r="A4" s="3"/>
    </row>
    <row r="5" spans="1:21" x14ac:dyDescent="0.2">
      <c r="A5" t="s">
        <v>80</v>
      </c>
    </row>
    <row r="6" spans="1:21" x14ac:dyDescent="0.2">
      <c r="A6" s="2" t="s">
        <v>1</v>
      </c>
    </row>
    <row r="7" spans="1:21" x14ac:dyDescent="0.2">
      <c r="A7" s="2" t="s">
        <v>2</v>
      </c>
    </row>
    <row r="9" spans="1:21" x14ac:dyDescent="0.2">
      <c r="A9" t="s">
        <v>152</v>
      </c>
    </row>
    <row r="11" spans="1:21" x14ac:dyDescent="0.2">
      <c r="A11" t="s">
        <v>35</v>
      </c>
    </row>
    <row r="12" spans="1:21" x14ac:dyDescent="0.2">
      <c r="A12" t="s">
        <v>59</v>
      </c>
    </row>
    <row r="15" spans="1:21" x14ac:dyDescent="0.2">
      <c r="A15" s="1" t="s">
        <v>81</v>
      </c>
      <c r="F15" s="10"/>
      <c r="G15" s="15"/>
      <c r="H15" s="1" t="s">
        <v>38</v>
      </c>
    </row>
    <row r="16" spans="1:21" x14ac:dyDescent="0.2">
      <c r="A16" s="1"/>
      <c r="F16" s="10"/>
      <c r="G16" s="15" t="s">
        <v>91</v>
      </c>
      <c r="H16" t="s">
        <v>33</v>
      </c>
      <c r="K16" t="s">
        <v>47</v>
      </c>
      <c r="L16" t="s">
        <v>47</v>
      </c>
      <c r="M16" t="s">
        <v>47</v>
      </c>
      <c r="N16" t="s">
        <v>37</v>
      </c>
      <c r="O16" t="s">
        <v>47</v>
      </c>
      <c r="P16" t="s">
        <v>47</v>
      </c>
      <c r="Q16" t="s">
        <v>114</v>
      </c>
      <c r="U16" t="s">
        <v>130</v>
      </c>
    </row>
    <row r="17" spans="1:24" x14ac:dyDescent="0.2">
      <c r="A17" t="s">
        <v>31</v>
      </c>
      <c r="B17" t="s">
        <v>3</v>
      </c>
      <c r="C17" t="s">
        <v>5</v>
      </c>
      <c r="D17" t="s">
        <v>36</v>
      </c>
      <c r="E17" t="s">
        <v>7</v>
      </c>
      <c r="F17" s="10" t="s">
        <v>9</v>
      </c>
      <c r="G17" s="13" t="s">
        <v>93</v>
      </c>
      <c r="H17" s="13" t="s">
        <v>34</v>
      </c>
      <c r="I17" s="13"/>
      <c r="J17" s="13" t="s">
        <v>39</v>
      </c>
      <c r="K17" s="13" t="s">
        <v>41</v>
      </c>
      <c r="L17" s="13" t="s">
        <v>41</v>
      </c>
      <c r="M17" s="13" t="s">
        <v>96</v>
      </c>
      <c r="N17" s="13" t="s">
        <v>49</v>
      </c>
      <c r="O17" s="13" t="s">
        <v>117</v>
      </c>
      <c r="P17" s="13" t="s">
        <v>98</v>
      </c>
      <c r="Q17" s="13" t="s">
        <v>115</v>
      </c>
      <c r="R17" s="13" t="s">
        <v>6</v>
      </c>
      <c r="U17" t="s">
        <v>48</v>
      </c>
      <c r="V17" t="s">
        <v>48</v>
      </c>
      <c r="W17" t="s">
        <v>48</v>
      </c>
      <c r="X17" t="s">
        <v>48</v>
      </c>
    </row>
    <row r="18" spans="1:24" x14ac:dyDescent="0.2">
      <c r="A18" s="4" t="s">
        <v>32</v>
      </c>
      <c r="B18" s="4" t="s">
        <v>4</v>
      </c>
      <c r="C18" s="4" t="s">
        <v>4</v>
      </c>
      <c r="D18" s="4" t="s">
        <v>37</v>
      </c>
      <c r="E18" s="4" t="s">
        <v>8</v>
      </c>
      <c r="F18" s="11" t="s">
        <v>8</v>
      </c>
      <c r="G18" s="16" t="s">
        <v>92</v>
      </c>
      <c r="H18" s="18" t="s">
        <v>43</v>
      </c>
      <c r="I18" s="18" t="s">
        <v>40</v>
      </c>
      <c r="J18" s="18" t="s">
        <v>49</v>
      </c>
      <c r="K18" s="18" t="s">
        <v>60</v>
      </c>
      <c r="L18" s="18" t="s">
        <v>143</v>
      </c>
      <c r="M18" s="18" t="s">
        <v>97</v>
      </c>
      <c r="N18" s="18" t="s">
        <v>109</v>
      </c>
      <c r="O18" s="18" t="s">
        <v>118</v>
      </c>
      <c r="P18" s="18" t="s">
        <v>46</v>
      </c>
      <c r="Q18" s="18" t="s">
        <v>48</v>
      </c>
      <c r="R18" s="20" t="s">
        <v>50</v>
      </c>
      <c r="U18" s="20" t="s">
        <v>127</v>
      </c>
      <c r="V18" s="20" t="s">
        <v>112</v>
      </c>
      <c r="W18" s="20" t="s">
        <v>46</v>
      </c>
      <c r="X18" s="40" t="s">
        <v>6</v>
      </c>
    </row>
    <row r="19" spans="1:24" x14ac:dyDescent="0.2">
      <c r="A19" t="s">
        <v>10</v>
      </c>
      <c r="B19" s="5">
        <v>20912646</v>
      </c>
      <c r="C19" s="8">
        <f>B19/$B$41</f>
        <v>0.12472553268330071</v>
      </c>
      <c r="D19" s="8">
        <f>C19</f>
        <v>0.12472553268330071</v>
      </c>
      <c r="E19" s="9">
        <v>43795099366.209999</v>
      </c>
      <c r="F19" s="35">
        <f>E19/B19</f>
        <v>2094.1921632590156</v>
      </c>
      <c r="G19" s="34">
        <f>B19</f>
        <v>20912646</v>
      </c>
      <c r="H19" s="17">
        <f>G54</f>
        <v>0.42</v>
      </c>
      <c r="I19" s="19">
        <f>G45</f>
        <v>0.8</v>
      </c>
      <c r="J19" s="5">
        <f>G19*H19*I19</f>
        <v>7026649.0560000008</v>
      </c>
      <c r="K19" s="6">
        <f t="shared" ref="K19:K37" si="0">F19*(1+$G$49)</f>
        <v>2219.8436930545568</v>
      </c>
      <c r="L19" s="6">
        <f>K19*$G$48</f>
        <v>2219.8436930545568</v>
      </c>
      <c r="M19" s="6">
        <f>K19*$B$85</f>
        <v>946.83775210172973</v>
      </c>
      <c r="N19" s="7">
        <f>$B$72</f>
        <v>0.24</v>
      </c>
      <c r="O19" s="5">
        <f>L19+(M19*N19)</f>
        <v>2447.0847535589719</v>
      </c>
      <c r="P19" s="6">
        <f>$G$47*K19</f>
        <v>554.96092326363919</v>
      </c>
      <c r="Q19" s="5">
        <f>(O19+P19)/3</f>
        <v>1000.6818922742037</v>
      </c>
      <c r="R19" s="5">
        <f t="shared" ref="R19:R39" si="1">Q19*J19</f>
        <v>7031440473.7048283</v>
      </c>
      <c r="U19" s="5">
        <f>L19*J19/$G$46</f>
        <v>5199354196.7564526</v>
      </c>
      <c r="V19" s="5">
        <f>M19*N19*J19/$G$46</f>
        <v>532247727.7592625</v>
      </c>
      <c r="W19" s="5">
        <f>P19*J19/$G$46</f>
        <v>1299838549.1891131</v>
      </c>
      <c r="X19" s="6">
        <f>SUM(U19:W19)</f>
        <v>7031440473.7048283</v>
      </c>
    </row>
    <row r="20" spans="1:24" x14ac:dyDescent="0.2">
      <c r="A20" t="s">
        <v>11</v>
      </c>
      <c r="B20" s="5">
        <v>12993812</v>
      </c>
      <c r="C20" s="8">
        <f t="shared" ref="C20:C39" si="2">B20/$B$41</f>
        <v>7.7496655530183256E-2</v>
      </c>
      <c r="D20" s="8">
        <f>C20+D19</f>
        <v>0.20222218821348398</v>
      </c>
      <c r="E20" s="5">
        <v>96170371134.600006</v>
      </c>
      <c r="F20" s="12">
        <f t="shared" ref="F20:F38" si="3">E20/B20</f>
        <v>7401.2438485796165</v>
      </c>
      <c r="G20" s="34">
        <f>B20</f>
        <v>12993812</v>
      </c>
      <c r="H20" s="17">
        <f>H19</f>
        <v>0.42</v>
      </c>
      <c r="I20" s="14">
        <f>I19</f>
        <v>0.8</v>
      </c>
      <c r="J20" s="5">
        <f t="shared" ref="J20:J39" si="4">G20*H20*I20</f>
        <v>4365920.8320000004</v>
      </c>
      <c r="K20" s="6">
        <f t="shared" si="0"/>
        <v>7845.3184794943936</v>
      </c>
      <c r="L20" s="6">
        <f t="shared" ref="L20:L39" si="5">K20*$G$48</f>
        <v>7845.3184794943936</v>
      </c>
      <c r="M20" s="6">
        <f t="shared" ref="M20:M39" si="6">K20*$B$85</f>
        <v>3346.2913343349842</v>
      </c>
      <c r="N20" s="7">
        <f>$B$72</f>
        <v>0.24</v>
      </c>
      <c r="O20" s="5">
        <f t="shared" ref="O20:O39" si="7">L20+(M20*N20)</f>
        <v>8648.4283997347902</v>
      </c>
      <c r="P20" s="6">
        <f t="shared" ref="P20:P39" si="8">$G$47*K20</f>
        <v>1961.3296198735984</v>
      </c>
      <c r="Q20" s="5">
        <f t="shared" ref="Q20:Q39" si="9">(O20+P20)/3</f>
        <v>3536.5860065361298</v>
      </c>
      <c r="R20" s="5">
        <f t="shared" si="1"/>
        <v>15440454520.095779</v>
      </c>
      <c r="U20" s="5">
        <f t="shared" ref="U20:U39" si="10">L20*J20/$G$46</f>
        <v>11417346461.099714</v>
      </c>
      <c r="V20" s="5">
        <f t="shared" ref="V20:V39" si="11">M20*N20*J20/$G$46</f>
        <v>1168771443.7211349</v>
      </c>
      <c r="W20" s="5">
        <f t="shared" ref="W20:W39" si="12">P20*J20/$G$46</f>
        <v>2854336615.2749286</v>
      </c>
      <c r="X20" s="6">
        <f t="shared" ref="X20:X39" si="13">SUM(U20:W20)</f>
        <v>15440454520.095778</v>
      </c>
    </row>
    <row r="21" spans="1:24" x14ac:dyDescent="0.2">
      <c r="A21" t="s">
        <v>12</v>
      </c>
      <c r="B21" s="5">
        <v>11550542</v>
      </c>
      <c r="C21" s="8">
        <f t="shared" si="2"/>
        <v>6.888881989064595E-2</v>
      </c>
      <c r="D21" s="8">
        <f t="shared" ref="D21:D39" si="14">C21+D20</f>
        <v>0.27111100810412991</v>
      </c>
      <c r="E21" s="9">
        <v>143915223674.78</v>
      </c>
      <c r="F21" s="12">
        <f t="shared" si="3"/>
        <v>12459.607841327273</v>
      </c>
      <c r="G21" s="34">
        <f>B21</f>
        <v>11550542</v>
      </c>
      <c r="H21" s="17">
        <f>G55</f>
        <v>0.24</v>
      </c>
      <c r="I21" s="14">
        <f t="shared" ref="I21:I39" si="15">I20</f>
        <v>0.8</v>
      </c>
      <c r="J21" s="5">
        <f t="shared" si="4"/>
        <v>2217704.0640000002</v>
      </c>
      <c r="K21" s="6">
        <f t="shared" si="0"/>
        <v>13207.18431180691</v>
      </c>
      <c r="L21" s="6">
        <f t="shared" si="5"/>
        <v>13207.18431180691</v>
      </c>
      <c r="M21" s="6">
        <f t="shared" si="6"/>
        <v>5633.3068605281969</v>
      </c>
      <c r="N21" s="7">
        <f>(B72+B73)/2</f>
        <v>0.36</v>
      </c>
      <c r="O21" s="5">
        <f t="shared" si="7"/>
        <v>15235.174781597061</v>
      </c>
      <c r="P21" s="6">
        <f t="shared" si="8"/>
        <v>3301.7960779517275</v>
      </c>
      <c r="Q21" s="5">
        <f t="shared" si="9"/>
        <v>6178.990286516263</v>
      </c>
      <c r="R21" s="5">
        <f t="shared" si="1"/>
        <v>13703171869.823643</v>
      </c>
      <c r="U21" s="5">
        <f t="shared" si="10"/>
        <v>9763208774.0970764</v>
      </c>
      <c r="V21" s="5">
        <f t="shared" si="11"/>
        <v>1499160902.2022955</v>
      </c>
      <c r="W21" s="5">
        <f t="shared" si="12"/>
        <v>2440802193.5242691</v>
      </c>
      <c r="X21" s="6">
        <f t="shared" si="13"/>
        <v>13703171869.823641</v>
      </c>
    </row>
    <row r="22" spans="1:24" x14ac:dyDescent="0.2">
      <c r="A22" t="s">
        <v>13</v>
      </c>
      <c r="B22" s="5">
        <v>10937984</v>
      </c>
      <c r="C22" s="8">
        <f t="shared" si="2"/>
        <v>6.5235450400748907E-2</v>
      </c>
      <c r="D22" s="8">
        <f t="shared" si="14"/>
        <v>0.33634645850487882</v>
      </c>
      <c r="E22" s="9">
        <v>191083130375.42001</v>
      </c>
      <c r="F22" s="12">
        <f t="shared" si="3"/>
        <v>17469.684575824944</v>
      </c>
      <c r="G22" s="34">
        <f>B22</f>
        <v>10937984</v>
      </c>
      <c r="H22" s="17">
        <f>H21</f>
        <v>0.24</v>
      </c>
      <c r="I22" s="14">
        <f t="shared" si="15"/>
        <v>0.8</v>
      </c>
      <c r="J22" s="5">
        <f t="shared" si="4"/>
        <v>2100092.9279999998</v>
      </c>
      <c r="K22" s="6">
        <f t="shared" si="0"/>
        <v>18517.865650374442</v>
      </c>
      <c r="L22" s="6">
        <f t="shared" si="5"/>
        <v>18517.865650374442</v>
      </c>
      <c r="M22" s="6">
        <f t="shared" si="6"/>
        <v>7898.4904842538635</v>
      </c>
      <c r="N22" s="7">
        <f>$B$73</f>
        <v>0.48</v>
      </c>
      <c r="O22" s="5">
        <f t="shared" si="7"/>
        <v>22309.141082816295</v>
      </c>
      <c r="P22" s="6">
        <f t="shared" si="8"/>
        <v>4629.4664125936106</v>
      </c>
      <c r="Q22" s="5">
        <f t="shared" si="9"/>
        <v>8979.5358318033013</v>
      </c>
      <c r="R22" s="5">
        <f t="shared" si="1"/>
        <v>18857859697.092709</v>
      </c>
      <c r="U22" s="5">
        <f t="shared" si="10"/>
        <v>12963079564.668495</v>
      </c>
      <c r="V22" s="5">
        <f t="shared" si="11"/>
        <v>2654010241.257093</v>
      </c>
      <c r="W22" s="5">
        <f t="shared" si="12"/>
        <v>3240769891.1671238</v>
      </c>
      <c r="X22" s="6">
        <f t="shared" si="13"/>
        <v>18857859697.092712</v>
      </c>
    </row>
    <row r="23" spans="1:24" x14ac:dyDescent="0.2">
      <c r="A23" t="s">
        <v>14</v>
      </c>
      <c r="B23" s="5">
        <v>10930426</v>
      </c>
      <c r="C23" s="8">
        <f t="shared" si="2"/>
        <v>6.519037358091366E-2</v>
      </c>
      <c r="D23" s="8">
        <f t="shared" si="14"/>
        <v>0.40153683208579249</v>
      </c>
      <c r="E23" s="5">
        <v>245963571026.59</v>
      </c>
      <c r="F23" s="12">
        <f t="shared" si="3"/>
        <v>22502.651866138611</v>
      </c>
      <c r="G23" s="34">
        <f>B23-(C49/2)</f>
        <v>10908033.740730686</v>
      </c>
      <c r="H23" s="17">
        <f>H22</f>
        <v>0.24</v>
      </c>
      <c r="I23" s="14">
        <f t="shared" si="15"/>
        <v>0.8</v>
      </c>
      <c r="J23" s="5">
        <f t="shared" si="4"/>
        <v>2094342.4782202919</v>
      </c>
      <c r="K23" s="6">
        <f t="shared" si="0"/>
        <v>23852.810978106929</v>
      </c>
      <c r="L23" s="6">
        <f t="shared" si="5"/>
        <v>23852.810978106929</v>
      </c>
      <c r="M23" s="6">
        <f t="shared" si="6"/>
        <v>10174.023512773141</v>
      </c>
      <c r="N23" s="7">
        <f t="shared" ref="N23:N24" si="16">$B$73</f>
        <v>0.48</v>
      </c>
      <c r="O23" s="5">
        <f t="shared" si="7"/>
        <v>28736.342264238036</v>
      </c>
      <c r="P23" s="6">
        <f t="shared" si="8"/>
        <v>5963.2027445267322</v>
      </c>
      <c r="Q23" s="5">
        <f t="shared" si="9"/>
        <v>11566.515002921589</v>
      </c>
      <c r="R23" s="5">
        <f t="shared" si="1"/>
        <v>24224243695.590988</v>
      </c>
      <c r="U23" s="5">
        <f t="shared" si="10"/>
        <v>16651985085.469551</v>
      </c>
      <c r="V23" s="5">
        <f t="shared" si="11"/>
        <v>3409262338.7540512</v>
      </c>
      <c r="W23" s="5">
        <f t="shared" si="12"/>
        <v>4162996271.3673878</v>
      </c>
      <c r="X23" s="6">
        <f t="shared" si="13"/>
        <v>24224243695.590988</v>
      </c>
    </row>
    <row r="24" spans="1:24" x14ac:dyDescent="0.2">
      <c r="A24" t="s">
        <v>15</v>
      </c>
      <c r="B24" s="5">
        <v>10649685</v>
      </c>
      <c r="C24" s="8">
        <f t="shared" si="2"/>
        <v>6.3516000535482564E-2</v>
      </c>
      <c r="D24" s="8">
        <f t="shared" si="14"/>
        <v>0.46505283262127506</v>
      </c>
      <c r="E24" s="9">
        <v>292595699011.64001</v>
      </c>
      <c r="F24" s="12">
        <f t="shared" si="3"/>
        <v>27474.58718371858</v>
      </c>
      <c r="G24" s="34">
        <f>B24-(C49/2)</f>
        <v>10627292.740730686</v>
      </c>
      <c r="H24" s="17">
        <f>H23</f>
        <v>0.24</v>
      </c>
      <c r="I24" s="14">
        <f t="shared" si="15"/>
        <v>0.8</v>
      </c>
      <c r="J24" s="5">
        <f t="shared" si="4"/>
        <v>2040440.2062202916</v>
      </c>
      <c r="K24" s="6">
        <f t="shared" si="0"/>
        <v>29123.062414741697</v>
      </c>
      <c r="L24" s="6">
        <f t="shared" si="5"/>
        <v>29123.062414741697</v>
      </c>
      <c r="M24" s="6">
        <f t="shared" si="6"/>
        <v>12421.962427971139</v>
      </c>
      <c r="N24" s="7">
        <f t="shared" si="16"/>
        <v>0.48</v>
      </c>
      <c r="O24" s="5">
        <f t="shared" si="7"/>
        <v>35085.604380167846</v>
      </c>
      <c r="P24" s="6">
        <f t="shared" si="8"/>
        <v>7280.7656036854241</v>
      </c>
      <c r="Q24" s="5">
        <f t="shared" si="9"/>
        <v>14122.123327951091</v>
      </c>
      <c r="R24" s="5">
        <f t="shared" si="1"/>
        <v>28815348235.552914</v>
      </c>
      <c r="U24" s="5">
        <f t="shared" si="10"/>
        <v>19807955826.43399</v>
      </c>
      <c r="V24" s="5">
        <f t="shared" si="11"/>
        <v>4055403452.5104232</v>
      </c>
      <c r="W24" s="5">
        <f t="shared" si="12"/>
        <v>4951988956.6084976</v>
      </c>
      <c r="X24" s="6">
        <f t="shared" si="13"/>
        <v>28815348235.55291</v>
      </c>
    </row>
    <row r="25" spans="1:24" x14ac:dyDescent="0.2">
      <c r="A25" t="s">
        <v>16</v>
      </c>
      <c r="B25" s="5">
        <v>10157201</v>
      </c>
      <c r="C25" s="8">
        <f t="shared" si="2"/>
        <v>6.0578766804370646E-2</v>
      </c>
      <c r="D25" s="8">
        <f t="shared" si="14"/>
        <v>0.52563159942564575</v>
      </c>
      <c r="E25" s="9">
        <v>329598837106.28998</v>
      </c>
      <c r="F25" s="12">
        <f t="shared" si="3"/>
        <v>32449.770079994476</v>
      </c>
      <c r="G25" s="34">
        <f>B25-C50-C51</f>
        <v>8836057.7031105142</v>
      </c>
      <c r="H25" s="17">
        <f>G56</f>
        <v>0.21</v>
      </c>
      <c r="I25" s="14">
        <f t="shared" si="15"/>
        <v>0.8</v>
      </c>
      <c r="J25" s="5">
        <f t="shared" si="4"/>
        <v>1484457.6941225664</v>
      </c>
      <c r="K25" s="6">
        <f t="shared" si="0"/>
        <v>34396.756284794144</v>
      </c>
      <c r="L25" s="6">
        <f t="shared" si="5"/>
        <v>34396.756284794144</v>
      </c>
      <c r="M25" s="6">
        <f t="shared" si="6"/>
        <v>14671.369656424322</v>
      </c>
      <c r="N25" s="7">
        <f>$B$74</f>
        <v>0.74</v>
      </c>
      <c r="O25" s="5">
        <f t="shared" si="7"/>
        <v>45253.569830548142</v>
      </c>
      <c r="P25" s="6">
        <f t="shared" si="8"/>
        <v>8599.1890711985361</v>
      </c>
      <c r="Q25" s="5">
        <f t="shared" si="9"/>
        <v>17950.919633915561</v>
      </c>
      <c r="R25" s="5">
        <f t="shared" si="1"/>
        <v>26647380767.141796</v>
      </c>
      <c r="U25" s="5">
        <f t="shared" si="10"/>
        <v>17020176506.607138</v>
      </c>
      <c r="V25" s="5">
        <f t="shared" si="11"/>
        <v>5372160133.8828745</v>
      </c>
      <c r="W25" s="5">
        <f t="shared" si="12"/>
        <v>4255044126.6517844</v>
      </c>
      <c r="X25" s="6">
        <f t="shared" si="13"/>
        <v>26647380767.141796</v>
      </c>
    </row>
    <row r="26" spans="1:24" x14ac:dyDescent="0.2">
      <c r="A26" t="s">
        <v>17</v>
      </c>
      <c r="B26" s="5">
        <v>9281197</v>
      </c>
      <c r="C26" s="8">
        <f t="shared" si="2"/>
        <v>5.5354173726445348E-2</v>
      </c>
      <c r="D26" s="8">
        <f t="shared" si="14"/>
        <v>0.5809857731520911</v>
      </c>
      <c r="E26" s="5">
        <v>347575046812.88</v>
      </c>
      <c r="F26" s="12">
        <f t="shared" si="3"/>
        <v>37449.37714530572</v>
      </c>
      <c r="G26" s="34">
        <f t="shared" ref="G26:G31" si="17">B26-C52</f>
        <v>7803307.8882253217</v>
      </c>
      <c r="H26" s="17">
        <f>H25</f>
        <v>0.21</v>
      </c>
      <c r="I26" s="14">
        <f t="shared" si="15"/>
        <v>0.8</v>
      </c>
      <c r="J26" s="5">
        <f t="shared" si="4"/>
        <v>1310955.7252218542</v>
      </c>
      <c r="K26" s="6">
        <f t="shared" si="0"/>
        <v>39696.339774024062</v>
      </c>
      <c r="L26" s="6">
        <f t="shared" si="5"/>
        <v>39696.339774024062</v>
      </c>
      <c r="M26" s="6">
        <f t="shared" si="6"/>
        <v>16931.819675368322</v>
      </c>
      <c r="N26" s="7">
        <f t="shared" ref="N26:N28" si="18">$B$74</f>
        <v>0.74</v>
      </c>
      <c r="O26" s="5">
        <f t="shared" si="7"/>
        <v>52225.886333796618</v>
      </c>
      <c r="P26" s="6">
        <f t="shared" si="8"/>
        <v>9924.0849435060154</v>
      </c>
      <c r="Q26" s="5">
        <f t="shared" si="9"/>
        <v>20716.657092434212</v>
      </c>
      <c r="R26" s="5">
        <f t="shared" si="1"/>
        <v>27158620222.784561</v>
      </c>
      <c r="U26" s="5">
        <f t="shared" si="10"/>
        <v>17346714632.369617</v>
      </c>
      <c r="V26" s="5">
        <f t="shared" si="11"/>
        <v>5475226932.3225403</v>
      </c>
      <c r="W26" s="5">
        <f t="shared" si="12"/>
        <v>4336678658.0924044</v>
      </c>
      <c r="X26" s="6">
        <f t="shared" si="13"/>
        <v>27158620222.784561</v>
      </c>
    </row>
    <row r="27" spans="1:24" x14ac:dyDescent="0.2">
      <c r="A27" t="s">
        <v>18</v>
      </c>
      <c r="B27" s="5">
        <v>8242459</v>
      </c>
      <c r="C27" s="8">
        <f t="shared" si="2"/>
        <v>4.9159015525594707E-2</v>
      </c>
      <c r="D27" s="8">
        <f t="shared" si="14"/>
        <v>0.63014478867768586</v>
      </c>
      <c r="E27" s="5">
        <v>349799179987.79999</v>
      </c>
      <c r="F27" s="12">
        <f t="shared" si="3"/>
        <v>42438.692141240856</v>
      </c>
      <c r="G27" s="34">
        <f t="shared" si="17"/>
        <v>6518255.0362628754</v>
      </c>
      <c r="H27" s="17">
        <f>H26</f>
        <v>0.21</v>
      </c>
      <c r="I27" s="14">
        <f t="shared" si="15"/>
        <v>0.8</v>
      </c>
      <c r="J27" s="5">
        <f t="shared" si="4"/>
        <v>1095066.8460921631</v>
      </c>
      <c r="K27" s="6">
        <f t="shared" si="0"/>
        <v>44985.013669715307</v>
      </c>
      <c r="L27" s="6">
        <f t="shared" si="5"/>
        <v>44985.013669715307</v>
      </c>
      <c r="M27" s="6">
        <f t="shared" si="6"/>
        <v>19187.61638693991</v>
      </c>
      <c r="N27" s="7">
        <f t="shared" si="18"/>
        <v>0.74</v>
      </c>
      <c r="O27" s="5">
        <f t="shared" si="7"/>
        <v>59183.849796050839</v>
      </c>
      <c r="P27" s="6">
        <f t="shared" si="8"/>
        <v>11246.253417428827</v>
      </c>
      <c r="Q27" s="5">
        <f t="shared" si="9"/>
        <v>23476.701071159889</v>
      </c>
      <c r="R27" s="5">
        <f t="shared" si="1"/>
        <v>25708556998.643566</v>
      </c>
      <c r="U27" s="5">
        <f t="shared" si="10"/>
        <v>16420532346.902662</v>
      </c>
      <c r="V27" s="5">
        <f t="shared" si="11"/>
        <v>5182891565.0152397</v>
      </c>
      <c r="W27" s="5">
        <f t="shared" si="12"/>
        <v>4105133086.7256656</v>
      </c>
      <c r="X27" s="6">
        <f t="shared" si="13"/>
        <v>25708556998.643566</v>
      </c>
    </row>
    <row r="28" spans="1:24" x14ac:dyDescent="0.2">
      <c r="A28" t="s">
        <v>19</v>
      </c>
      <c r="B28" s="5">
        <v>7405906</v>
      </c>
      <c r="C28" s="8">
        <f t="shared" si="2"/>
        <v>4.4169712950358014E-2</v>
      </c>
      <c r="D28" s="8">
        <f t="shared" si="14"/>
        <v>0.67431450162804385</v>
      </c>
      <c r="E28" s="5">
        <v>351372718041.82001</v>
      </c>
      <c r="F28" s="12">
        <f t="shared" si="3"/>
        <v>47444.933549226793</v>
      </c>
      <c r="G28" s="34">
        <f t="shared" si="17"/>
        <v>6622176.9255740345</v>
      </c>
      <c r="H28" s="17">
        <f>H27</f>
        <v>0.21</v>
      </c>
      <c r="I28" s="14">
        <f t="shared" si="15"/>
        <v>0.8</v>
      </c>
      <c r="J28" s="5">
        <f t="shared" si="4"/>
        <v>1112525.7234964378</v>
      </c>
      <c r="K28" s="6">
        <f t="shared" si="0"/>
        <v>50291.629562180402</v>
      </c>
      <c r="L28" s="6">
        <f t="shared" si="5"/>
        <v>50291.629562180402</v>
      </c>
      <c r="M28" s="6">
        <f t="shared" si="6"/>
        <v>21451.065961614753</v>
      </c>
      <c r="N28" s="7">
        <f t="shared" si="18"/>
        <v>0.74</v>
      </c>
      <c r="O28" s="5">
        <f t="shared" si="7"/>
        <v>66165.418373775319</v>
      </c>
      <c r="P28" s="6">
        <f t="shared" si="8"/>
        <v>12572.9073905451</v>
      </c>
      <c r="Q28" s="5">
        <f t="shared" si="9"/>
        <v>26246.108588106803</v>
      </c>
      <c r="R28" s="5">
        <f t="shared" si="1"/>
        <v>29199470945.949589</v>
      </c>
      <c r="U28" s="5">
        <f t="shared" si="10"/>
        <v>18650243854.82653</v>
      </c>
      <c r="V28" s="5">
        <f t="shared" si="11"/>
        <v>5886666127.4164314</v>
      </c>
      <c r="W28" s="5">
        <f t="shared" si="12"/>
        <v>4662560963.7066326</v>
      </c>
      <c r="X28" s="6">
        <f t="shared" si="13"/>
        <v>29199470945.949593</v>
      </c>
    </row>
    <row r="29" spans="1:24" x14ac:dyDescent="0.2">
      <c r="A29" t="s">
        <v>20</v>
      </c>
      <c r="B29" s="5">
        <v>6542812</v>
      </c>
      <c r="C29" s="8">
        <f t="shared" si="2"/>
        <v>3.9022116663127757E-2</v>
      </c>
      <c r="D29" s="8">
        <f t="shared" si="14"/>
        <v>0.71333661829117156</v>
      </c>
      <c r="E29" s="9">
        <v>343025577206.83002</v>
      </c>
      <c r="F29" s="12">
        <f t="shared" si="3"/>
        <v>52427.85169539183</v>
      </c>
      <c r="G29" s="34">
        <f t="shared" si="17"/>
        <v>4594685.4435697421</v>
      </c>
      <c r="H29" s="17">
        <f>H28</f>
        <v>0.21</v>
      </c>
      <c r="I29" s="14">
        <f t="shared" si="15"/>
        <v>0.8</v>
      </c>
      <c r="J29" s="5">
        <f t="shared" si="4"/>
        <v>771907.15451971674</v>
      </c>
      <c r="K29" s="6">
        <f t="shared" si="0"/>
        <v>55573.522797115344</v>
      </c>
      <c r="L29" s="6">
        <f t="shared" si="5"/>
        <v>55573.522797115344</v>
      </c>
      <c r="M29" s="6">
        <f t="shared" si="6"/>
        <v>23703.97049406204</v>
      </c>
      <c r="N29" s="7">
        <f>$B$75</f>
        <v>0.88</v>
      </c>
      <c r="O29" s="5">
        <f t="shared" si="7"/>
        <v>76433.016831889938</v>
      </c>
      <c r="P29" s="6">
        <f t="shared" si="8"/>
        <v>13893.380699278836</v>
      </c>
      <c r="Q29" s="5">
        <f t="shared" si="9"/>
        <v>30108.799177056255</v>
      </c>
      <c r="R29" s="5">
        <f t="shared" si="1"/>
        <v>23241197498.767082</v>
      </c>
      <c r="U29" s="5">
        <f t="shared" si="10"/>
        <v>14299199949.652639</v>
      </c>
      <c r="V29" s="5">
        <f t="shared" si="11"/>
        <v>5367197561.7012873</v>
      </c>
      <c r="W29" s="5">
        <f t="shared" si="12"/>
        <v>3574799987.4131598</v>
      </c>
      <c r="X29" s="6">
        <f t="shared" si="13"/>
        <v>23241197498.767086</v>
      </c>
    </row>
    <row r="30" spans="1:24" x14ac:dyDescent="0.2">
      <c r="A30" t="s">
        <v>21</v>
      </c>
      <c r="B30" s="5">
        <v>5612864</v>
      </c>
      <c r="C30" s="8">
        <f t="shared" si="2"/>
        <v>3.3475795089675499E-2</v>
      </c>
      <c r="D30" s="8">
        <f t="shared" si="14"/>
        <v>0.74681241338084703</v>
      </c>
      <c r="E30" s="5">
        <v>322379314296.40002</v>
      </c>
      <c r="F30" s="12">
        <f t="shared" si="3"/>
        <v>57435.796466189102</v>
      </c>
      <c r="G30" s="34">
        <f t="shared" si="17"/>
        <v>5388941.4073068667</v>
      </c>
      <c r="H30" s="17">
        <f>H29</f>
        <v>0.21</v>
      </c>
      <c r="I30" s="14">
        <f t="shared" si="15"/>
        <v>0.8</v>
      </c>
      <c r="J30" s="5">
        <f t="shared" si="4"/>
        <v>905342.15642755374</v>
      </c>
      <c r="K30" s="6">
        <f t="shared" si="0"/>
        <v>60881.944254160451</v>
      </c>
      <c r="L30" s="6">
        <f t="shared" si="5"/>
        <v>60881.944254160451</v>
      </c>
      <c r="M30" s="6">
        <f t="shared" si="6"/>
        <v>25968.190202559166</v>
      </c>
      <c r="N30" s="7">
        <f t="shared" ref="N30:N39" si="19">$B$75</f>
        <v>0.88</v>
      </c>
      <c r="O30" s="5">
        <f t="shared" si="7"/>
        <v>83733.951632412514</v>
      </c>
      <c r="P30" s="6">
        <f t="shared" si="8"/>
        <v>15220.486063540113</v>
      </c>
      <c r="Q30" s="5">
        <f t="shared" si="9"/>
        <v>32984.812565317545</v>
      </c>
      <c r="R30" s="5">
        <f t="shared" si="1"/>
        <v>29862541337.243256</v>
      </c>
      <c r="U30" s="5">
        <f t="shared" si="10"/>
        <v>18372996899.521244</v>
      </c>
      <c r="V30" s="5">
        <f t="shared" si="11"/>
        <v>6896295212.8416977</v>
      </c>
      <c r="W30" s="5">
        <f t="shared" si="12"/>
        <v>4593249224.880311</v>
      </c>
      <c r="X30" s="6">
        <f t="shared" si="13"/>
        <v>29862541337.243252</v>
      </c>
    </row>
    <row r="31" spans="1:24" x14ac:dyDescent="0.2">
      <c r="A31" t="s">
        <v>22</v>
      </c>
      <c r="B31" s="5">
        <v>4920595</v>
      </c>
      <c r="C31" s="8">
        <f t="shared" si="2"/>
        <v>2.9347019621227557E-2</v>
      </c>
      <c r="D31" s="8">
        <f t="shared" si="14"/>
        <v>0.77615943300207457</v>
      </c>
      <c r="E31" s="9">
        <v>307114651240.22998</v>
      </c>
      <c r="F31" s="12">
        <f t="shared" si="3"/>
        <v>62414.129031190329</v>
      </c>
      <c r="G31" s="34">
        <f t="shared" si="17"/>
        <v>1808070.9615654503</v>
      </c>
      <c r="H31" s="17">
        <f>G57</f>
        <v>7.0000000000000007E-2</v>
      </c>
      <c r="I31" s="14">
        <f t="shared" si="15"/>
        <v>0.8</v>
      </c>
      <c r="J31" s="5">
        <f t="shared" si="4"/>
        <v>101251.97384766524</v>
      </c>
      <c r="K31" s="6">
        <f t="shared" si="0"/>
        <v>66158.976773061746</v>
      </c>
      <c r="L31" s="6">
        <f t="shared" si="5"/>
        <v>66158.976773061746</v>
      </c>
      <c r="M31" s="6">
        <f t="shared" si="6"/>
        <v>28219.021476669706</v>
      </c>
      <c r="N31" s="7">
        <f t="shared" si="19"/>
        <v>0.88</v>
      </c>
      <c r="O31" s="5">
        <f t="shared" si="7"/>
        <v>90991.715672531092</v>
      </c>
      <c r="P31" s="6">
        <f t="shared" si="8"/>
        <v>16539.744193265436</v>
      </c>
      <c r="Q31" s="5">
        <f t="shared" si="9"/>
        <v>35843.819955265506</v>
      </c>
      <c r="R31" s="5">
        <f t="shared" si="1"/>
        <v>3629257520.7109647</v>
      </c>
      <c r="U31" s="5">
        <f t="shared" si="10"/>
        <v>2232908995.3381133</v>
      </c>
      <c r="V31" s="5">
        <f t="shared" si="11"/>
        <v>838121276.53832304</v>
      </c>
      <c r="W31" s="5">
        <f t="shared" si="12"/>
        <v>558227248.83452833</v>
      </c>
      <c r="X31" s="6">
        <f t="shared" si="13"/>
        <v>3629257520.7109647</v>
      </c>
    </row>
    <row r="32" spans="1:24" x14ac:dyDescent="0.2">
      <c r="A32" t="s">
        <v>23</v>
      </c>
      <c r="B32" s="5">
        <v>4239330</v>
      </c>
      <c r="C32" s="8">
        <f t="shared" si="2"/>
        <v>2.5283873330533935E-2</v>
      </c>
      <c r="D32" s="8">
        <f t="shared" si="14"/>
        <v>0.80144330633260852</v>
      </c>
      <c r="E32" s="5">
        <v>285846106689.33002</v>
      </c>
      <c r="F32" s="12">
        <f t="shared" si="3"/>
        <v>67427.189364670834</v>
      </c>
      <c r="G32" s="34">
        <f>B32-(C58/2)</f>
        <v>1854554.387818133</v>
      </c>
      <c r="H32" s="17">
        <f t="shared" ref="H32:H39" si="20">H31</f>
        <v>7.0000000000000007E-2</v>
      </c>
      <c r="I32" s="14">
        <f t="shared" si="15"/>
        <v>0.8</v>
      </c>
      <c r="J32" s="5">
        <f t="shared" si="4"/>
        <v>103855.04571781546</v>
      </c>
      <c r="K32" s="6">
        <f t="shared" si="0"/>
        <v>71472.820726551086</v>
      </c>
      <c r="L32" s="6">
        <f t="shared" si="5"/>
        <v>71472.820726551086</v>
      </c>
      <c r="M32" s="6">
        <f t="shared" si="6"/>
        <v>30485.554061681563</v>
      </c>
      <c r="N32" s="7">
        <f t="shared" si="19"/>
        <v>0.88</v>
      </c>
      <c r="O32" s="5">
        <f t="shared" si="7"/>
        <v>98300.108300830863</v>
      </c>
      <c r="P32" s="6">
        <f t="shared" si="8"/>
        <v>17868.205181637772</v>
      </c>
      <c r="Q32" s="5">
        <f t="shared" si="9"/>
        <v>38722.771160822878</v>
      </c>
      <c r="R32" s="5">
        <f t="shared" si="1"/>
        <v>4021555169.227766</v>
      </c>
      <c r="U32" s="5">
        <f t="shared" si="10"/>
        <v>2474271021.3790641</v>
      </c>
      <c r="V32" s="5">
        <f t="shared" si="11"/>
        <v>928716392.50393629</v>
      </c>
      <c r="W32" s="5">
        <f t="shared" si="12"/>
        <v>618567755.34476602</v>
      </c>
      <c r="X32" s="6">
        <f t="shared" si="13"/>
        <v>4021555169.2277665</v>
      </c>
    </row>
    <row r="33" spans="1:24" x14ac:dyDescent="0.2">
      <c r="A33" t="s">
        <v>24</v>
      </c>
      <c r="B33" s="5">
        <v>3682829</v>
      </c>
      <c r="C33" s="8">
        <f t="shared" si="2"/>
        <v>2.1964834521968558E-2</v>
      </c>
      <c r="D33" s="8">
        <f t="shared" si="14"/>
        <v>0.82340814085457703</v>
      </c>
      <c r="E33" s="5">
        <v>266740577128.07001</v>
      </c>
      <c r="F33" s="12">
        <f t="shared" si="3"/>
        <v>72428.173322212358</v>
      </c>
      <c r="G33" s="34">
        <f>B33-(C58/2)</f>
        <v>1298053.387818133</v>
      </c>
      <c r="H33" s="17">
        <f t="shared" si="20"/>
        <v>7.0000000000000007E-2</v>
      </c>
      <c r="I33" s="14">
        <f t="shared" si="15"/>
        <v>0.8</v>
      </c>
      <c r="J33" s="5">
        <f t="shared" si="4"/>
        <v>72690.989717815464</v>
      </c>
      <c r="K33" s="6">
        <f t="shared" si="0"/>
        <v>76773.863721545102</v>
      </c>
      <c r="L33" s="6">
        <f t="shared" si="5"/>
        <v>76773.863721545102</v>
      </c>
      <c r="M33" s="6">
        <f t="shared" si="6"/>
        <v>32746.626608761751</v>
      </c>
      <c r="N33" s="7">
        <f t="shared" si="19"/>
        <v>0.88</v>
      </c>
      <c r="O33" s="5">
        <f t="shared" si="7"/>
        <v>105590.89513725544</v>
      </c>
      <c r="P33" s="6">
        <f t="shared" si="8"/>
        <v>19193.465930386275</v>
      </c>
      <c r="Q33" s="5">
        <f t="shared" si="9"/>
        <v>41594.787022547236</v>
      </c>
      <c r="R33" s="5">
        <f t="shared" si="1"/>
        <v>3023566235.7707052</v>
      </c>
      <c r="U33" s="5">
        <f t="shared" si="10"/>
        <v>1860256046.1266003</v>
      </c>
      <c r="V33" s="5">
        <f t="shared" si="11"/>
        <v>698246178.11245525</v>
      </c>
      <c r="W33" s="5">
        <f t="shared" si="12"/>
        <v>465064011.53165007</v>
      </c>
      <c r="X33" s="6">
        <f t="shared" si="13"/>
        <v>3023566235.7707057</v>
      </c>
    </row>
    <row r="34" spans="1:24" x14ac:dyDescent="0.2">
      <c r="A34" t="s">
        <v>25</v>
      </c>
      <c r="B34" s="5">
        <v>3208818</v>
      </c>
      <c r="C34" s="8">
        <f t="shared" si="2"/>
        <v>1.9137775981755898E-2</v>
      </c>
      <c r="D34" s="8">
        <f t="shared" si="14"/>
        <v>0.84254591683633295</v>
      </c>
      <c r="E34" s="9">
        <v>248463045944.20999</v>
      </c>
      <c r="F34" s="12">
        <f t="shared" si="3"/>
        <v>77431.330148425361</v>
      </c>
      <c r="G34" s="34">
        <f>B34-(C59/3)</f>
        <v>1857818.3574180973</v>
      </c>
      <c r="H34" s="17">
        <f t="shared" si="20"/>
        <v>7.0000000000000007E-2</v>
      </c>
      <c r="I34" s="14">
        <f t="shared" si="15"/>
        <v>0.8</v>
      </c>
      <c r="J34" s="5">
        <f t="shared" si="4"/>
        <v>104037.82801541347</v>
      </c>
      <c r="K34" s="6">
        <f t="shared" si="0"/>
        <v>82077.209957330881</v>
      </c>
      <c r="L34" s="6">
        <f t="shared" si="5"/>
        <v>82077.209957330881</v>
      </c>
      <c r="M34" s="6">
        <f t="shared" si="6"/>
        <v>35008.681565252402</v>
      </c>
      <c r="N34" s="7">
        <f t="shared" si="19"/>
        <v>0.88</v>
      </c>
      <c r="O34" s="5">
        <f t="shared" si="7"/>
        <v>112884.84973475299</v>
      </c>
      <c r="P34" s="6">
        <f t="shared" si="8"/>
        <v>20519.30248933272</v>
      </c>
      <c r="Q34" s="5">
        <f t="shared" si="9"/>
        <v>44468.050741361898</v>
      </c>
      <c r="R34" s="5">
        <f t="shared" si="1"/>
        <v>4626359415.2104883</v>
      </c>
      <c r="U34" s="5">
        <f t="shared" si="10"/>
        <v>2846378217.8419242</v>
      </c>
      <c r="V34" s="5">
        <f t="shared" si="11"/>
        <v>1068386642.9080843</v>
      </c>
      <c r="W34" s="5">
        <f t="shared" si="12"/>
        <v>711594554.46048105</v>
      </c>
      <c r="X34" s="6">
        <f t="shared" si="13"/>
        <v>4626359415.2104893</v>
      </c>
    </row>
    <row r="35" spans="1:24" x14ac:dyDescent="0.2">
      <c r="A35" t="s">
        <v>26</v>
      </c>
      <c r="B35" s="5">
        <v>2780381</v>
      </c>
      <c r="C35" s="8">
        <f t="shared" si="2"/>
        <v>1.6582526251700921E-2</v>
      </c>
      <c r="D35" s="8">
        <f t="shared" si="14"/>
        <v>0.85912844308803382</v>
      </c>
      <c r="E35" s="9">
        <v>229208728016.53</v>
      </c>
      <c r="F35" s="12">
        <f t="shared" si="3"/>
        <v>82437.884598020915</v>
      </c>
      <c r="G35" s="34">
        <f>B35-(C59/3)</f>
        <v>1429381.3574180973</v>
      </c>
      <c r="H35" s="17">
        <f t="shared" si="20"/>
        <v>7.0000000000000007E-2</v>
      </c>
      <c r="I35" s="14">
        <f t="shared" si="15"/>
        <v>0.8</v>
      </c>
      <c r="J35" s="5">
        <f t="shared" si="4"/>
        <v>80045.356015413461</v>
      </c>
      <c r="K35" s="6">
        <f t="shared" si="0"/>
        <v>87384.157673902169</v>
      </c>
      <c r="L35" s="6">
        <f t="shared" si="5"/>
        <v>87384.157673902169</v>
      </c>
      <c r="M35" s="6">
        <f t="shared" si="6"/>
        <v>37272.272674032451</v>
      </c>
      <c r="N35" s="7">
        <f t="shared" si="19"/>
        <v>0.88</v>
      </c>
      <c r="O35" s="5">
        <f t="shared" si="7"/>
        <v>120183.75762705073</v>
      </c>
      <c r="P35" s="6">
        <f t="shared" si="8"/>
        <v>21846.039418475542</v>
      </c>
      <c r="Q35" s="5">
        <f t="shared" si="9"/>
        <v>47343.265681842087</v>
      </c>
      <c r="R35" s="5">
        <f t="shared" si="1"/>
        <v>3789608556.4353561</v>
      </c>
      <c r="U35" s="5">
        <f t="shared" si="10"/>
        <v>2331565337.0381742</v>
      </c>
      <c r="V35" s="5">
        <f t="shared" si="11"/>
        <v>875151885.13763821</v>
      </c>
      <c r="W35" s="5">
        <f t="shared" si="12"/>
        <v>582891334.25954354</v>
      </c>
      <c r="X35" s="6">
        <f t="shared" si="13"/>
        <v>3789608556.4353557</v>
      </c>
    </row>
    <row r="36" spans="1:24" x14ac:dyDescent="0.2">
      <c r="A36" t="s">
        <v>27</v>
      </c>
      <c r="B36" s="5">
        <v>2403623</v>
      </c>
      <c r="C36" s="8">
        <f t="shared" si="2"/>
        <v>1.4335496285110612E-2</v>
      </c>
      <c r="D36" s="8">
        <f t="shared" si="14"/>
        <v>0.87346393937314448</v>
      </c>
      <c r="E36" s="5">
        <v>210164860939.67001</v>
      </c>
      <c r="F36" s="12">
        <f t="shared" si="3"/>
        <v>87436.699074551216</v>
      </c>
      <c r="G36" s="34">
        <f>B36-(C59/3)</f>
        <v>1052623.3574180973</v>
      </c>
      <c r="H36" s="17">
        <f t="shared" si="20"/>
        <v>7.0000000000000007E-2</v>
      </c>
      <c r="I36" s="14">
        <f t="shared" si="15"/>
        <v>0.8</v>
      </c>
      <c r="J36" s="5">
        <f t="shared" si="4"/>
        <v>58946.908015413457</v>
      </c>
      <c r="K36" s="6">
        <f t="shared" si="0"/>
        <v>92682.901019024299</v>
      </c>
      <c r="L36" s="6">
        <f t="shared" si="5"/>
        <v>92682.901019024299</v>
      </c>
      <c r="M36" s="6">
        <f t="shared" si="6"/>
        <v>39532.36434334988</v>
      </c>
      <c r="N36" s="7">
        <f t="shared" si="19"/>
        <v>0.88</v>
      </c>
      <c r="O36" s="5">
        <f t="shared" si="7"/>
        <v>127471.38164117219</v>
      </c>
      <c r="P36" s="6">
        <f t="shared" si="8"/>
        <v>23170.725254756075</v>
      </c>
      <c r="Q36" s="5">
        <f t="shared" si="9"/>
        <v>50214.03563197609</v>
      </c>
      <c r="R36" s="5">
        <f t="shared" si="1"/>
        <v>2959962139.4807882</v>
      </c>
      <c r="U36" s="5">
        <f t="shared" si="10"/>
        <v>1821123480.3233652</v>
      </c>
      <c r="V36" s="5">
        <f t="shared" si="11"/>
        <v>683557789.07658184</v>
      </c>
      <c r="W36" s="5">
        <f t="shared" si="12"/>
        <v>455280870.0808413</v>
      </c>
      <c r="X36" s="6">
        <f t="shared" si="13"/>
        <v>2959962139.4807882</v>
      </c>
    </row>
    <row r="37" spans="1:24" x14ac:dyDescent="0.2">
      <c r="A37" t="s">
        <v>28</v>
      </c>
      <c r="B37" s="5">
        <v>2117062</v>
      </c>
      <c r="C37" s="8">
        <f t="shared" si="2"/>
        <v>1.2626412060605528E-2</v>
      </c>
      <c r="D37" s="8">
        <f t="shared" si="14"/>
        <v>0.88609035143375003</v>
      </c>
      <c r="E37" s="5">
        <v>195678875591.60999</v>
      </c>
      <c r="F37" s="12">
        <f t="shared" si="3"/>
        <v>92429.449676773744</v>
      </c>
      <c r="G37" s="34">
        <f>B37-(C60/3)</f>
        <v>1452758.3083437053</v>
      </c>
      <c r="H37" s="17">
        <f t="shared" si="20"/>
        <v>7.0000000000000007E-2</v>
      </c>
      <c r="I37" s="14">
        <f t="shared" si="15"/>
        <v>0.8</v>
      </c>
      <c r="J37" s="5">
        <f t="shared" si="4"/>
        <v>81354.465267247506</v>
      </c>
      <c r="K37" s="6">
        <f t="shared" si="0"/>
        <v>97975.216657380166</v>
      </c>
      <c r="L37" s="6">
        <f t="shared" si="5"/>
        <v>97975.216657380166</v>
      </c>
      <c r="M37" s="6">
        <f t="shared" si="6"/>
        <v>41789.71438025203</v>
      </c>
      <c r="N37" s="7">
        <f t="shared" si="19"/>
        <v>0.88</v>
      </c>
      <c r="O37" s="5">
        <f t="shared" si="7"/>
        <v>134750.16531200195</v>
      </c>
      <c r="P37" s="6">
        <f t="shared" si="8"/>
        <v>24493.804164345041</v>
      </c>
      <c r="Q37" s="5">
        <f t="shared" si="9"/>
        <v>53081.323158782325</v>
      </c>
      <c r="R37" s="5">
        <f t="shared" si="1"/>
        <v>4318402661.2606974</v>
      </c>
      <c r="U37" s="5">
        <f t="shared" si="10"/>
        <v>2656907120.2012944</v>
      </c>
      <c r="V37" s="5">
        <f t="shared" si="11"/>
        <v>997268761.00907958</v>
      </c>
      <c r="W37" s="5">
        <f t="shared" si="12"/>
        <v>664226780.05032361</v>
      </c>
      <c r="X37" s="6">
        <f t="shared" si="13"/>
        <v>4318402661.2606974</v>
      </c>
    </row>
    <row r="38" spans="1:24" x14ac:dyDescent="0.2">
      <c r="A38" t="s">
        <v>29</v>
      </c>
      <c r="B38" s="5">
        <v>1836034</v>
      </c>
      <c r="C38" s="8">
        <f t="shared" si="2"/>
        <v>1.0950327312701191E-2</v>
      </c>
      <c r="D38" s="8">
        <f t="shared" si="14"/>
        <v>0.89704067874645121</v>
      </c>
      <c r="E38" s="9">
        <v>178907004914.35001</v>
      </c>
      <c r="F38" s="12">
        <f t="shared" si="3"/>
        <v>97442.097975500452</v>
      </c>
      <c r="G38" s="34">
        <f>B38-(C60/3)</f>
        <v>1171730.3083437053</v>
      </c>
      <c r="H38" s="17">
        <f t="shared" si="20"/>
        <v>7.0000000000000007E-2</v>
      </c>
      <c r="I38" s="14">
        <f t="shared" si="15"/>
        <v>0.8</v>
      </c>
      <c r="J38" s="5">
        <f t="shared" si="4"/>
        <v>65616.897267247507</v>
      </c>
      <c r="K38" s="6">
        <v>100000</v>
      </c>
      <c r="L38" s="6">
        <f t="shared" si="5"/>
        <v>100000</v>
      </c>
      <c r="M38" s="6">
        <f t="shared" si="6"/>
        <v>42653.352353780319</v>
      </c>
      <c r="N38" s="7">
        <f t="shared" si="19"/>
        <v>0.88</v>
      </c>
      <c r="O38" s="5">
        <f t="shared" si="7"/>
        <v>137534.95007132669</v>
      </c>
      <c r="P38" s="6">
        <f t="shared" si="8"/>
        <v>25000</v>
      </c>
      <c r="Q38" s="5">
        <f t="shared" si="9"/>
        <v>54178.316690442232</v>
      </c>
      <c r="R38" s="5">
        <f t="shared" si="1"/>
        <v>3555013040.3891487</v>
      </c>
      <c r="U38" s="5">
        <f t="shared" si="10"/>
        <v>2187229908.9082503</v>
      </c>
      <c r="V38" s="5">
        <f t="shared" si="11"/>
        <v>820975654.2538358</v>
      </c>
      <c r="W38" s="5">
        <f t="shared" si="12"/>
        <v>546807477.22706258</v>
      </c>
      <c r="X38" s="6">
        <f t="shared" si="13"/>
        <v>3555013040.3891487</v>
      </c>
    </row>
    <row r="39" spans="1:24" x14ac:dyDescent="0.2">
      <c r="A39" s="44" t="s">
        <v>30</v>
      </c>
      <c r="B39" s="45">
        <f>B41-SUM(B19:B38)</f>
        <v>17263120</v>
      </c>
      <c r="C39" s="46">
        <f t="shared" si="2"/>
        <v>0.10295932125354879</v>
      </c>
      <c r="D39" s="46">
        <f t="shared" si="14"/>
        <v>1</v>
      </c>
      <c r="E39" s="45">
        <f>E41-SUM(E19:E38)</f>
        <v>3404143010010.25</v>
      </c>
      <c r="F39" s="47">
        <f>E39/B39</f>
        <v>197191.64380542163</v>
      </c>
      <c r="G39" s="48">
        <f>B39-(C60/3)-C61-C63-C64</f>
        <v>15601432.079976752</v>
      </c>
      <c r="H39" s="49">
        <f t="shared" si="20"/>
        <v>7.0000000000000007E-2</v>
      </c>
      <c r="I39" s="50">
        <f t="shared" si="15"/>
        <v>0.8</v>
      </c>
      <c r="J39" s="45">
        <f t="shared" si="4"/>
        <v>873680.19647869829</v>
      </c>
      <c r="K39" s="45">
        <v>100000</v>
      </c>
      <c r="L39" s="51">
        <f t="shared" si="5"/>
        <v>100000</v>
      </c>
      <c r="M39" s="51">
        <f t="shared" si="6"/>
        <v>42653.352353780319</v>
      </c>
      <c r="N39" s="52">
        <f t="shared" si="19"/>
        <v>0.88</v>
      </c>
      <c r="O39" s="45">
        <f t="shared" si="7"/>
        <v>137534.95007132669</v>
      </c>
      <c r="P39" s="51">
        <f t="shared" si="8"/>
        <v>25000</v>
      </c>
      <c r="Q39" s="45">
        <f t="shared" si="9"/>
        <v>54178.316690442232</v>
      </c>
      <c r="R39" s="45">
        <f t="shared" si="1"/>
        <v>47334522370.990707</v>
      </c>
      <c r="U39" s="5">
        <f t="shared" si="10"/>
        <v>29122673215.956608</v>
      </c>
      <c r="V39" s="41">
        <f t="shared" si="11"/>
        <v>10931180851.044943</v>
      </c>
      <c r="W39" s="41">
        <f t="shared" si="12"/>
        <v>7280668303.989152</v>
      </c>
      <c r="X39" s="31">
        <f t="shared" si="13"/>
        <v>47334522370.9907</v>
      </c>
    </row>
    <row r="40" spans="1:24" x14ac:dyDescent="0.2">
      <c r="E40" s="5"/>
      <c r="S40" s="26" t="s">
        <v>77</v>
      </c>
      <c r="U40" s="6">
        <f>SUM(U19:U39)</f>
        <v>225446107441.51846</v>
      </c>
      <c r="V40" s="6">
        <f t="shared" ref="V40:X40" si="21">SUM(V19:V39)</f>
        <v>65340899069.969215</v>
      </c>
      <c r="W40" s="6">
        <f t="shared" si="21"/>
        <v>56361526860.379616</v>
      </c>
      <c r="X40" s="6">
        <f t="shared" si="21"/>
        <v>347148533371.86737</v>
      </c>
    </row>
    <row r="41" spans="1:24" ht="17" thickBot="1" x14ac:dyDescent="0.25">
      <c r="A41" t="s">
        <v>6</v>
      </c>
      <c r="B41" s="6">
        <v>167669326</v>
      </c>
      <c r="C41" s="7">
        <f>SUM(C19:C39)</f>
        <v>1</v>
      </c>
      <c r="D41" s="7"/>
      <c r="E41" s="9">
        <v>8383540628515.5098</v>
      </c>
      <c r="G41" s="6">
        <f>SUM(G19:G39)</f>
        <v>145220157.39163089</v>
      </c>
      <c r="I41" t="s">
        <v>6</v>
      </c>
      <c r="J41" s="6">
        <f>SUM(J19:J39)</f>
        <v>28066884.524663612</v>
      </c>
      <c r="Q41" s="21" t="s">
        <v>51</v>
      </c>
      <c r="R41" s="22">
        <f>SUM(R19:R39)</f>
        <v>347148533371.86737</v>
      </c>
      <c r="S41" s="22">
        <f>R41/G46</f>
        <v>115716177790.62245</v>
      </c>
      <c r="U41" s="7">
        <f>U40/X40</f>
        <v>0.64942261242400057</v>
      </c>
      <c r="V41" s="7">
        <f>V40/X40</f>
        <v>0.18822173446999901</v>
      </c>
      <c r="W41" s="7">
        <f>W40/X40</f>
        <v>0.16235565310600014</v>
      </c>
    </row>
    <row r="42" spans="1:24" ht="17" thickTop="1" x14ac:dyDescent="0.2">
      <c r="E42" s="6"/>
      <c r="I42" t="s">
        <v>52</v>
      </c>
      <c r="J42" s="7">
        <f>J41/B41</f>
        <v>0.16739427058151121</v>
      </c>
    </row>
    <row r="43" spans="1:24" x14ac:dyDescent="0.2">
      <c r="I43" t="s">
        <v>65</v>
      </c>
      <c r="J43" s="7">
        <f>J41/(B41-B45)</f>
        <v>0.19327104750242477</v>
      </c>
      <c r="Q43" s="1" t="s">
        <v>124</v>
      </c>
    </row>
    <row r="44" spans="1:24" x14ac:dyDescent="0.2">
      <c r="A44" s="1" t="s">
        <v>42</v>
      </c>
      <c r="F44" s="1" t="s">
        <v>44</v>
      </c>
      <c r="Q44" s="20" t="s">
        <v>58</v>
      </c>
      <c r="R44" s="20"/>
      <c r="S44" s="20" t="s">
        <v>57</v>
      </c>
      <c r="T44" s="20" t="s">
        <v>37</v>
      </c>
    </row>
    <row r="45" spans="1:24" x14ac:dyDescent="0.2">
      <c r="A45" t="s">
        <v>94</v>
      </c>
      <c r="B45" s="5">
        <v>22449000</v>
      </c>
      <c r="F45" t="s">
        <v>40</v>
      </c>
      <c r="G45">
        <v>0.8</v>
      </c>
      <c r="Q45" t="s">
        <v>53</v>
      </c>
      <c r="S45" s="6">
        <f>SUM(R19:R20)</f>
        <v>22471894993.800606</v>
      </c>
      <c r="T45" s="38">
        <f>S45/$R$41</f>
        <v>6.4732795427738687E-2</v>
      </c>
    </row>
    <row r="46" spans="1:24" x14ac:dyDescent="0.2">
      <c r="A46" t="s">
        <v>95</v>
      </c>
      <c r="B46" s="6">
        <f>B41-B45</f>
        <v>145220326</v>
      </c>
      <c r="F46" t="s">
        <v>45</v>
      </c>
      <c r="G46">
        <v>3</v>
      </c>
      <c r="Q46" t="s">
        <v>54</v>
      </c>
      <c r="S46" s="6">
        <f>SUM(R21:R25)</f>
        <v>112248004265.20206</v>
      </c>
      <c r="T46" s="38">
        <f t="shared" ref="T46:T48" si="22">S46/$R$41</f>
        <v>0.32334287336585515</v>
      </c>
    </row>
    <row r="47" spans="1:24" x14ac:dyDescent="0.2">
      <c r="F47" t="s">
        <v>121</v>
      </c>
      <c r="G47">
        <v>0.25</v>
      </c>
      <c r="Q47" t="s">
        <v>55</v>
      </c>
      <c r="S47" s="6">
        <f>SUM(R26:R30)</f>
        <v>135170387003.38806</v>
      </c>
      <c r="T47" s="38">
        <f t="shared" si="22"/>
        <v>0.38937334889614189</v>
      </c>
    </row>
    <row r="48" spans="1:24" x14ac:dyDescent="0.2">
      <c r="A48" s="20" t="s">
        <v>84</v>
      </c>
      <c r="B48" s="20" t="s">
        <v>87</v>
      </c>
      <c r="C48" s="20" t="s">
        <v>86</v>
      </c>
      <c r="D48" s="20" t="s">
        <v>88</v>
      </c>
      <c r="F48" t="s">
        <v>144</v>
      </c>
      <c r="G48">
        <v>1</v>
      </c>
      <c r="H48" t="s">
        <v>145</v>
      </c>
      <c r="Q48" s="20" t="s">
        <v>56</v>
      </c>
      <c r="R48" s="20"/>
      <c r="S48" s="31">
        <f>SUM(R31:R39)</f>
        <v>77258247109.476624</v>
      </c>
      <c r="T48" s="39">
        <f t="shared" si="22"/>
        <v>0.22255098231026421</v>
      </c>
    </row>
    <row r="49" spans="1:20" x14ac:dyDescent="0.2">
      <c r="A49" s="27" t="s">
        <v>85</v>
      </c>
      <c r="B49" s="28">
        <v>2E-3</v>
      </c>
      <c r="C49" s="6">
        <f t="shared" ref="C49:C61" si="23">B49*($B$45-$C$63)</f>
        <v>44784.518538626609</v>
      </c>
      <c r="D49" s="5">
        <v>24108</v>
      </c>
      <c r="F49" t="s">
        <v>61</v>
      </c>
      <c r="G49">
        <f>0.04*1.5</f>
        <v>0.06</v>
      </c>
      <c r="H49" t="s">
        <v>116</v>
      </c>
      <c r="Q49" t="s">
        <v>6</v>
      </c>
      <c r="S49" s="6">
        <f>SUM(S45:S48)</f>
        <v>347148533371.86731</v>
      </c>
      <c r="T49" s="37">
        <f>SUM(T45:T48)</f>
        <v>1</v>
      </c>
    </row>
    <row r="50" spans="1:20" x14ac:dyDescent="0.2">
      <c r="A50">
        <v>4</v>
      </c>
      <c r="B50" s="28">
        <v>1.0999999999999999E-2</v>
      </c>
      <c r="C50" s="6">
        <f t="shared" si="23"/>
        <v>246314.85196244635</v>
      </c>
      <c r="D50" s="5">
        <v>30503</v>
      </c>
    </row>
    <row r="51" spans="1:20" x14ac:dyDescent="0.2">
      <c r="A51">
        <v>5</v>
      </c>
      <c r="B51" s="28">
        <v>4.8000000000000001E-2</v>
      </c>
      <c r="C51" s="6">
        <f t="shared" si="23"/>
        <v>1074828.4449270386</v>
      </c>
      <c r="D51" s="5">
        <v>34129</v>
      </c>
      <c r="F51" s="1" t="s">
        <v>75</v>
      </c>
      <c r="Q51" s="1" t="s">
        <v>125</v>
      </c>
    </row>
    <row r="52" spans="1:20" x14ac:dyDescent="0.2">
      <c r="A52">
        <v>6</v>
      </c>
      <c r="B52" s="28">
        <v>6.6000000000000003E-2</v>
      </c>
      <c r="C52" s="6">
        <f t="shared" si="23"/>
        <v>1477889.1117746783</v>
      </c>
      <c r="D52" s="5">
        <v>38043</v>
      </c>
      <c r="Q52" s="20" t="s">
        <v>58</v>
      </c>
      <c r="R52" s="20"/>
      <c r="S52" s="20" t="s">
        <v>119</v>
      </c>
      <c r="T52" s="20" t="s">
        <v>37</v>
      </c>
    </row>
    <row r="53" spans="1:20" x14ac:dyDescent="0.2">
      <c r="A53">
        <v>7</v>
      </c>
      <c r="B53" s="28">
        <v>7.6999999999999999E-2</v>
      </c>
      <c r="C53" s="6">
        <f t="shared" si="23"/>
        <v>1724203.9637371246</v>
      </c>
      <c r="D53" s="5">
        <v>42273</v>
      </c>
      <c r="F53" s="20" t="s">
        <v>78</v>
      </c>
      <c r="G53" s="20" t="s">
        <v>74</v>
      </c>
      <c r="H53" s="20" t="s">
        <v>71</v>
      </c>
      <c r="I53" s="20" t="s">
        <v>72</v>
      </c>
      <c r="J53" s="20" t="s">
        <v>73</v>
      </c>
      <c r="Q53" t="s">
        <v>53</v>
      </c>
      <c r="S53" s="6">
        <f>SUM(J19:J20)</f>
        <v>11392569.888</v>
      </c>
      <c r="T53" s="7">
        <f>S53/$J$41</f>
        <v>0.40590789041757896</v>
      </c>
    </row>
    <row r="54" spans="1:20" x14ac:dyDescent="0.2">
      <c r="A54">
        <v>8</v>
      </c>
      <c r="B54" s="28">
        <v>3.5000000000000003E-2</v>
      </c>
      <c r="C54" s="6">
        <f t="shared" si="23"/>
        <v>783729.07442596578</v>
      </c>
      <c r="D54" s="5">
        <v>46818</v>
      </c>
      <c r="F54" t="s">
        <v>62</v>
      </c>
      <c r="G54" s="17">
        <v>0.42</v>
      </c>
      <c r="H54" s="17">
        <v>0.42</v>
      </c>
      <c r="I54" s="17">
        <v>0.55859999999999999</v>
      </c>
      <c r="J54" s="17">
        <v>0.2772</v>
      </c>
      <c r="Q54" t="s">
        <v>54</v>
      </c>
      <c r="S54" s="6">
        <f>SUM(J21:J25)</f>
        <v>9937037.3705631495</v>
      </c>
      <c r="T54" s="7">
        <f t="shared" ref="T54:T56" si="24">S54/$J$41</f>
        <v>0.3540484645465739</v>
      </c>
    </row>
    <row r="55" spans="1:20" x14ac:dyDescent="0.2">
      <c r="A55">
        <v>9</v>
      </c>
      <c r="B55" s="28">
        <v>8.6999999999999994E-2</v>
      </c>
      <c r="C55" s="6">
        <f t="shared" si="23"/>
        <v>1948126.5564302574</v>
      </c>
      <c r="D55" s="5">
        <v>51711</v>
      </c>
      <c r="F55" t="s">
        <v>63</v>
      </c>
      <c r="G55" s="17">
        <v>0.24</v>
      </c>
      <c r="H55" s="17">
        <v>0.24</v>
      </c>
      <c r="I55" s="17">
        <v>0.31919999999999998</v>
      </c>
      <c r="J55" s="17">
        <v>0.15840000000000001</v>
      </c>
      <c r="Q55" t="s">
        <v>55</v>
      </c>
      <c r="S55" s="6">
        <f>SUM(J26:J30)</f>
        <v>5195797.6057577254</v>
      </c>
      <c r="T55" s="7">
        <f t="shared" si="24"/>
        <v>0.1851219931870938</v>
      </c>
    </row>
    <row r="56" spans="1:20" x14ac:dyDescent="0.2">
      <c r="A56">
        <v>10</v>
      </c>
      <c r="B56" s="28">
        <v>0.01</v>
      </c>
      <c r="C56" s="6">
        <f t="shared" si="23"/>
        <v>223922.59269313305</v>
      </c>
      <c r="D56" s="5">
        <v>56946</v>
      </c>
      <c r="F56" t="s">
        <v>64</v>
      </c>
      <c r="G56" s="17">
        <v>0.21</v>
      </c>
      <c r="H56" s="17">
        <v>0.21</v>
      </c>
      <c r="I56" s="17">
        <v>0.27929999999999999</v>
      </c>
      <c r="J56" s="17">
        <v>0.1386</v>
      </c>
      <c r="Q56" s="20" t="s">
        <v>56</v>
      </c>
      <c r="R56" s="20"/>
      <c r="S56" s="31">
        <f>SUM(J31:J39)</f>
        <v>1541479.6603427299</v>
      </c>
      <c r="T56" s="36">
        <f t="shared" si="24"/>
        <v>5.4921651848753056E-2</v>
      </c>
    </row>
    <row r="57" spans="1:20" x14ac:dyDescent="0.2">
      <c r="A57">
        <v>11</v>
      </c>
      <c r="B57" s="28">
        <v>0.13900000000000001</v>
      </c>
      <c r="C57" s="6">
        <f t="shared" si="23"/>
        <v>3112524.0384345497</v>
      </c>
      <c r="D57" s="5">
        <v>62564</v>
      </c>
      <c r="F57" t="s">
        <v>79</v>
      </c>
      <c r="G57" s="17">
        <v>7.0000000000000007E-2</v>
      </c>
      <c r="H57" s="17">
        <v>7.0000000000000007E-2</v>
      </c>
      <c r="I57" s="17">
        <v>9.3100000000000016E-2</v>
      </c>
      <c r="J57" s="17">
        <v>4.6200000000000005E-2</v>
      </c>
      <c r="Q57" t="s">
        <v>6</v>
      </c>
      <c r="S57" s="6">
        <f>SUM(S53:S56)</f>
        <v>28066884.524663605</v>
      </c>
      <c r="T57" s="37">
        <f>SUM(T53:T56)</f>
        <v>0.99999999999999967</v>
      </c>
    </row>
    <row r="58" spans="1:20" x14ac:dyDescent="0.2">
      <c r="A58">
        <v>12</v>
      </c>
      <c r="B58" s="28">
        <v>0.21299999999999999</v>
      </c>
      <c r="C58" s="6">
        <f t="shared" si="23"/>
        <v>4769551.224363734</v>
      </c>
      <c r="D58" s="5">
        <v>74991</v>
      </c>
    </row>
    <row r="59" spans="1:20" x14ac:dyDescent="0.2">
      <c r="A59">
        <v>13</v>
      </c>
      <c r="B59" s="28">
        <v>0.18099999999999999</v>
      </c>
      <c r="C59" s="6">
        <f t="shared" si="23"/>
        <v>4052998.9277457083</v>
      </c>
      <c r="D59" s="5">
        <v>89173</v>
      </c>
      <c r="Q59" s="1" t="s">
        <v>126</v>
      </c>
    </row>
    <row r="60" spans="1:20" x14ac:dyDescent="0.2">
      <c r="A60">
        <v>14</v>
      </c>
      <c r="B60" s="28">
        <v>8.8999999999999996E-2</v>
      </c>
      <c r="C60" s="6">
        <f t="shared" si="23"/>
        <v>1992911.074968884</v>
      </c>
      <c r="D60" s="5">
        <v>105373</v>
      </c>
      <c r="Q60" s="20" t="s">
        <v>146</v>
      </c>
      <c r="R60" s="20"/>
      <c r="S60" s="20" t="s">
        <v>129</v>
      </c>
      <c r="T60" s="20" t="s">
        <v>37</v>
      </c>
    </row>
    <row r="61" spans="1:20" x14ac:dyDescent="0.2">
      <c r="A61">
        <v>15</v>
      </c>
      <c r="B61" s="30">
        <v>4.2000000000000003E-2</v>
      </c>
      <c r="C61" s="31">
        <f t="shared" si="23"/>
        <v>940474.88931115891</v>
      </c>
      <c r="D61" s="5">
        <v>123950</v>
      </c>
      <c r="Q61" t="s">
        <v>127</v>
      </c>
      <c r="S61" s="6">
        <f>U40</f>
        <v>225446107441.51846</v>
      </c>
      <c r="T61" s="37">
        <f>U41</f>
        <v>0.64942261242400057</v>
      </c>
    </row>
    <row r="62" spans="1:20" x14ac:dyDescent="0.2">
      <c r="B62" s="32">
        <f>SUM(B49:B61)</f>
        <v>1</v>
      </c>
      <c r="C62" s="5">
        <f>SUM(C49:C61)</f>
        <v>22392259.269313306</v>
      </c>
      <c r="D62" s="5"/>
      <c r="Q62" t="s">
        <v>112</v>
      </c>
      <c r="S62" s="6">
        <f>V40</f>
        <v>65340899069.969215</v>
      </c>
      <c r="T62" s="37">
        <f>V41</f>
        <v>0.18822173446999901</v>
      </c>
    </row>
    <row r="63" spans="1:20" x14ac:dyDescent="0.2">
      <c r="A63" s="29" t="s">
        <v>89</v>
      </c>
      <c r="B63" s="8">
        <f>7067/2796000</f>
        <v>2.5275393419170243E-3</v>
      </c>
      <c r="C63" s="5">
        <f>B63*B45</f>
        <v>56740.730686695279</v>
      </c>
      <c r="D63" s="5">
        <v>181500</v>
      </c>
      <c r="Q63" s="20" t="s">
        <v>128</v>
      </c>
      <c r="R63" s="20"/>
      <c r="S63" s="31">
        <f>W40</f>
        <v>56361526860.379616</v>
      </c>
      <c r="T63" s="42">
        <f>W41</f>
        <v>0.16235565310600014</v>
      </c>
    </row>
    <row r="64" spans="1:20" x14ac:dyDescent="0.2">
      <c r="A64" s="29" t="s">
        <v>90</v>
      </c>
      <c r="B64" s="33">
        <f>21/2796000</f>
        <v>7.5107296137339054E-6</v>
      </c>
      <c r="C64" s="6">
        <f>B64*B45</f>
        <v>168.60836909871244</v>
      </c>
      <c r="D64" s="5">
        <v>199700</v>
      </c>
      <c r="Q64" t="s">
        <v>6</v>
      </c>
      <c r="S64" s="6">
        <f>SUM(S61:S63)</f>
        <v>347148533371.86731</v>
      </c>
      <c r="T64" s="37">
        <f>SUM(T61:T63)</f>
        <v>0.99999999999999978</v>
      </c>
    </row>
    <row r="66" spans="1:24" x14ac:dyDescent="0.2">
      <c r="A66" t="s">
        <v>6</v>
      </c>
      <c r="C66" s="6">
        <f>C62+C63</f>
        <v>22449000</v>
      </c>
    </row>
    <row r="67" spans="1:24" x14ac:dyDescent="0.2">
      <c r="Q67" s="1" t="s">
        <v>66</v>
      </c>
    </row>
    <row r="68" spans="1:24" x14ac:dyDescent="0.2">
      <c r="A68" s="1" t="s">
        <v>99</v>
      </c>
      <c r="U68" t="s">
        <v>122</v>
      </c>
      <c r="V68" t="s">
        <v>122</v>
      </c>
      <c r="X68" t="s">
        <v>122</v>
      </c>
    </row>
    <row r="69" spans="1:24" x14ac:dyDescent="0.2">
      <c r="A69" t="s">
        <v>100</v>
      </c>
      <c r="Q69" s="20" t="s">
        <v>67</v>
      </c>
      <c r="R69" s="20"/>
      <c r="S69" s="20" t="s">
        <v>68</v>
      </c>
      <c r="T69" s="20" t="s">
        <v>151</v>
      </c>
      <c r="U69" s="40" t="s">
        <v>123</v>
      </c>
      <c r="V69" s="40" t="s">
        <v>141</v>
      </c>
      <c r="W69" s="40" t="s">
        <v>49</v>
      </c>
      <c r="X69" s="40" t="s">
        <v>141</v>
      </c>
    </row>
    <row r="70" spans="1:24" x14ac:dyDescent="0.2">
      <c r="A70" t="s">
        <v>101</v>
      </c>
      <c r="Q70" s="23" t="s">
        <v>76</v>
      </c>
      <c r="R70" s="24"/>
      <c r="S70" s="25">
        <v>347148533371.86737</v>
      </c>
      <c r="T70" s="6">
        <v>115716177790.62245</v>
      </c>
      <c r="W70" s="5">
        <v>28066884.524663612</v>
      </c>
    </row>
    <row r="71" spans="1:24" x14ac:dyDescent="0.2">
      <c r="B71" t="s">
        <v>102</v>
      </c>
      <c r="C71" t="s">
        <v>106</v>
      </c>
      <c r="Q71" t="s">
        <v>147</v>
      </c>
      <c r="S71" s="5">
        <v>461707549384.58368</v>
      </c>
      <c r="T71" s="6">
        <v>153902516461.52789</v>
      </c>
      <c r="U71" s="6">
        <f t="shared" ref="U71:U72" si="25">T71-$T$70</f>
        <v>38186338670.905441</v>
      </c>
      <c r="V71" s="7">
        <f>U71/$T$70</f>
        <v>0.33000000000000029</v>
      </c>
      <c r="W71" s="5">
        <v>37328956.417802595</v>
      </c>
      <c r="X71" s="7">
        <f>(W71-$W$70)/$W$70</f>
        <v>0.32999999999999968</v>
      </c>
    </row>
    <row r="72" spans="1:24" x14ac:dyDescent="0.2">
      <c r="A72" t="s">
        <v>103</v>
      </c>
      <c r="B72" s="7">
        <v>0.24</v>
      </c>
      <c r="C72" s="5">
        <v>0</v>
      </c>
      <c r="D72" s="5">
        <f>C77</f>
        <v>12140</v>
      </c>
      <c r="Q72" t="s">
        <v>148</v>
      </c>
      <c r="S72" s="5">
        <v>229118032025.43243</v>
      </c>
      <c r="T72" s="6">
        <v>76372677341.810806</v>
      </c>
      <c r="U72" s="6">
        <f t="shared" si="25"/>
        <v>-39343500448.811646</v>
      </c>
      <c r="V72" s="7">
        <f t="shared" ref="V72" si="26">U72/$T$70</f>
        <v>-0.34000000000000008</v>
      </c>
      <c r="W72" s="5">
        <v>18524143.78627798</v>
      </c>
      <c r="X72" s="7">
        <f t="shared" ref="X72" si="27">(W72-$W$70)/$W$70</f>
        <v>-0.34000000000000014</v>
      </c>
    </row>
    <row r="73" spans="1:24" x14ac:dyDescent="0.2">
      <c r="A73" t="s">
        <v>104</v>
      </c>
      <c r="B73" s="7">
        <v>0.48</v>
      </c>
      <c r="C73" s="5">
        <f>C77</f>
        <v>12140</v>
      </c>
      <c r="D73" s="5">
        <f>2.5*C77</f>
        <v>30350</v>
      </c>
      <c r="Q73" t="s">
        <v>70</v>
      </c>
      <c r="S73" s="5">
        <v>390542100043.35077</v>
      </c>
      <c r="T73" s="6">
        <v>130180700014.45026</v>
      </c>
      <c r="U73" s="6">
        <f t="shared" ref="U73:U78" si="28">T73-$T$70</f>
        <v>14464522223.827805</v>
      </c>
      <c r="V73" s="7">
        <f t="shared" ref="V73:V78" si="29">U73/$T$70</f>
        <v>0.12499999999999999</v>
      </c>
      <c r="W73" s="5">
        <v>31575245.090246558</v>
      </c>
      <c r="X73" s="7">
        <f t="shared" ref="X73:X78" si="30">(W73-$W$70)/$W$70</f>
        <v>0.12499999999999981</v>
      </c>
    </row>
    <row r="74" spans="1:24" x14ac:dyDescent="0.2">
      <c r="A74" t="s">
        <v>105</v>
      </c>
      <c r="B74" s="7">
        <v>0.74</v>
      </c>
      <c r="C74" s="5">
        <f>2.5*C77</f>
        <v>30350</v>
      </c>
      <c r="D74" s="5">
        <f>4*C77</f>
        <v>48560</v>
      </c>
      <c r="Q74" t="s">
        <v>69</v>
      </c>
      <c r="S74" s="5">
        <v>303754966700.38397</v>
      </c>
      <c r="T74" s="6">
        <v>101251655566.79466</v>
      </c>
      <c r="U74" s="6">
        <f t="shared" si="28"/>
        <v>-14464522223.827789</v>
      </c>
      <c r="V74" s="7">
        <f t="shared" si="29"/>
        <v>-0.12499999999999985</v>
      </c>
      <c r="W74" s="5">
        <v>24558523.959080655</v>
      </c>
      <c r="X74" s="7">
        <f t="shared" si="30"/>
        <v>-0.12500000000000019</v>
      </c>
    </row>
    <row r="75" spans="1:24" x14ac:dyDescent="0.2">
      <c r="A75" t="s">
        <v>107</v>
      </c>
      <c r="B75" s="7">
        <v>0.88</v>
      </c>
      <c r="C75" s="5">
        <f>4*C77</f>
        <v>48560</v>
      </c>
      <c r="D75" s="5"/>
      <c r="Q75" s="13" t="s">
        <v>120</v>
      </c>
      <c r="S75" s="5">
        <v>358420838743.94318</v>
      </c>
      <c r="T75" s="6">
        <v>119473612914.64772</v>
      </c>
      <c r="U75" s="6">
        <f t="shared" si="28"/>
        <v>3757435124.0252686</v>
      </c>
      <c r="V75" s="7">
        <f t="shared" si="29"/>
        <v>3.247113062119969E-2</v>
      </c>
      <c r="W75" s="5">
        <v>28066884.524663612</v>
      </c>
      <c r="X75" s="7">
        <f t="shared" si="30"/>
        <v>0</v>
      </c>
    </row>
    <row r="76" spans="1:24" x14ac:dyDescent="0.2">
      <c r="C76" s="5"/>
      <c r="D76" s="5"/>
      <c r="Q76" s="13" t="s">
        <v>142</v>
      </c>
      <c r="S76" s="5">
        <v>335876227999.79132</v>
      </c>
      <c r="T76" s="6">
        <v>111958742666.59711</v>
      </c>
      <c r="U76" s="6">
        <f t="shared" si="28"/>
        <v>-3757435124.0253448</v>
      </c>
      <c r="V76" s="7">
        <f t="shared" si="29"/>
        <v>-3.2471130621200356E-2</v>
      </c>
      <c r="W76" s="5">
        <v>28066884.524663612</v>
      </c>
      <c r="X76" s="7">
        <f t="shared" si="30"/>
        <v>0</v>
      </c>
    </row>
    <row r="77" spans="1:24" x14ac:dyDescent="0.2">
      <c r="A77" t="s">
        <v>108</v>
      </c>
      <c r="C77" s="5">
        <v>12140</v>
      </c>
      <c r="D77" s="5"/>
      <c r="Q77" s="13" t="s">
        <v>149</v>
      </c>
      <c r="S77" s="5">
        <v>519420993057.65637</v>
      </c>
      <c r="T77" s="5">
        <v>173140331019.21878</v>
      </c>
      <c r="U77" s="6">
        <f t="shared" si="28"/>
        <v>57424153228.596329</v>
      </c>
      <c r="V77" s="7">
        <f t="shared" si="29"/>
        <v>0.49624999999999947</v>
      </c>
      <c r="W77" s="5">
        <v>41995075.970027916</v>
      </c>
      <c r="X77" s="7">
        <f t="shared" si="30"/>
        <v>0.49624999999999952</v>
      </c>
    </row>
    <row r="78" spans="1:24" x14ac:dyDescent="0.2">
      <c r="Q78" s="13" t="s">
        <v>150</v>
      </c>
      <c r="S78" s="5">
        <v>200478278022.25336</v>
      </c>
      <c r="T78" s="5">
        <v>66826092674.08445</v>
      </c>
      <c r="U78" s="6">
        <f t="shared" si="28"/>
        <v>-48890085116.538002</v>
      </c>
      <c r="V78" s="7">
        <f t="shared" si="29"/>
        <v>-0.42250000000000015</v>
      </c>
      <c r="W78" s="5">
        <v>16208625.812993228</v>
      </c>
      <c r="X78" s="7">
        <f t="shared" si="30"/>
        <v>-0.42250000000000026</v>
      </c>
    </row>
    <row r="79" spans="1:24" x14ac:dyDescent="0.2">
      <c r="A79" s="1" t="s">
        <v>110</v>
      </c>
    </row>
    <row r="80" spans="1:24" x14ac:dyDescent="0.2">
      <c r="A80" t="s">
        <v>111</v>
      </c>
      <c r="Q80" s="1" t="s">
        <v>131</v>
      </c>
    </row>
    <row r="81" spans="1:20" x14ac:dyDescent="0.2">
      <c r="Q81" s="20" t="s">
        <v>132</v>
      </c>
      <c r="R81" s="20" t="s">
        <v>133</v>
      </c>
      <c r="S81" s="41" t="s">
        <v>68</v>
      </c>
      <c r="T81" s="6"/>
    </row>
    <row r="82" spans="1:20" x14ac:dyDescent="0.2">
      <c r="A82" t="s">
        <v>83</v>
      </c>
      <c r="B82">
        <v>0.70099999999999996</v>
      </c>
      <c r="Q82" s="43">
        <v>3</v>
      </c>
      <c r="R82" t="s">
        <v>134</v>
      </c>
      <c r="S82" s="6">
        <f>$S$41*Q82</f>
        <v>347148533371.86737</v>
      </c>
    </row>
    <row r="83" spans="1:20" x14ac:dyDescent="0.2">
      <c r="A83" t="s">
        <v>112</v>
      </c>
      <c r="B83" s="20">
        <v>0.29899999999999999</v>
      </c>
      <c r="Q83" s="43">
        <v>4</v>
      </c>
      <c r="R83" t="s">
        <v>135</v>
      </c>
      <c r="S83" s="6">
        <f t="shared" ref="S83:S88" si="31">$S$41*Q83</f>
        <v>462864711162.48981</v>
      </c>
    </row>
    <row r="84" spans="1:20" x14ac:dyDescent="0.2">
      <c r="A84" t="s">
        <v>6</v>
      </c>
      <c r="B84">
        <f>B82+B83</f>
        <v>1</v>
      </c>
      <c r="Q84" s="43">
        <v>5</v>
      </c>
      <c r="R84" t="s">
        <v>136</v>
      </c>
      <c r="S84" s="6">
        <f t="shared" si="31"/>
        <v>578580888953.1123</v>
      </c>
    </row>
    <row r="85" spans="1:20" x14ac:dyDescent="0.2">
      <c r="A85" t="s">
        <v>113</v>
      </c>
      <c r="B85">
        <f>B83/B82</f>
        <v>0.42653352353780316</v>
      </c>
      <c r="Q85" s="43">
        <v>6</v>
      </c>
      <c r="R85" t="s">
        <v>137</v>
      </c>
      <c r="S85" s="6">
        <f t="shared" si="31"/>
        <v>694297066743.73474</v>
      </c>
    </row>
    <row r="86" spans="1:20" x14ac:dyDescent="0.2">
      <c r="Q86" s="43">
        <v>7</v>
      </c>
      <c r="R86" t="s">
        <v>138</v>
      </c>
      <c r="S86" s="6">
        <f t="shared" si="31"/>
        <v>810013244534.35718</v>
      </c>
    </row>
    <row r="87" spans="1:20" x14ac:dyDescent="0.2">
      <c r="Q87" s="43">
        <v>8</v>
      </c>
      <c r="R87" t="s">
        <v>139</v>
      </c>
      <c r="S87" s="6">
        <f t="shared" si="31"/>
        <v>925729422324.97961</v>
      </c>
    </row>
    <row r="88" spans="1:20" x14ac:dyDescent="0.2">
      <c r="Q88" s="43">
        <v>9</v>
      </c>
      <c r="R88" t="s">
        <v>140</v>
      </c>
      <c r="S88" s="6">
        <f t="shared" si="31"/>
        <v>1041445600115.6021</v>
      </c>
    </row>
  </sheetData>
  <pageMargins left="0.7" right="0.7" top="0.75" bottom="0.75" header="0.3" footer="0.3"/>
  <ignoredErrors>
    <ignoredError sqref="C39 H25 H21 H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2020-04-10T15:54:42Z</dcterms:created>
  <dcterms:modified xsi:type="dcterms:W3CDTF">2020-04-14T14:27:30Z</dcterms:modified>
</cp:coreProperties>
</file>